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rrogate.local\Data\Users\clare.cryer\Documents\Downloads on current site\Data protection downloads\"/>
    </mc:Choice>
  </mc:AlternateContent>
  <xr:revisionPtr revIDLastSave="0" documentId="8_{0CCC5DE9-6B54-4D86-A295-AB6361E2201F}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21-22" sheetId="9" r:id="rId1"/>
    <sheet name="20-21" sheetId="8" r:id="rId2"/>
    <sheet name="19-20" sheetId="7" r:id="rId3"/>
    <sheet name="18-19" sheetId="6" r:id="rId4"/>
    <sheet name="17-18" sheetId="2" r:id="rId5"/>
    <sheet name="16-17" sheetId="3" r:id="rId6"/>
    <sheet name="15-16" sheetId="4" r:id="rId7"/>
    <sheet name="14-15" sheetId="5" r:id="rId8"/>
    <sheet name="2009-2014" sheetId="1" r:id="rId9"/>
  </sheets>
  <externalReferences>
    <externalReference r:id="rId10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9" l="1"/>
  <c r="G4" i="9" s="1"/>
  <c r="F20" i="9"/>
  <c r="F4" i="9" s="1"/>
  <c r="C20" i="9"/>
  <c r="C4" i="9" s="1"/>
  <c r="B20" i="9"/>
  <c r="D18" i="9"/>
  <c r="D17" i="9"/>
  <c r="D16" i="9"/>
  <c r="D15" i="9"/>
  <c r="D14" i="9"/>
  <c r="G11" i="9"/>
  <c r="G3" i="9" s="1"/>
  <c r="F11" i="9"/>
  <c r="F3" i="9" s="1"/>
  <c r="C11" i="9"/>
  <c r="B11" i="9"/>
  <c r="B3" i="9" s="1"/>
  <c r="D10" i="9"/>
  <c r="D9" i="9"/>
  <c r="D8" i="9"/>
  <c r="D7" i="9"/>
  <c r="G22" i="9" l="1"/>
  <c r="F22" i="9"/>
  <c r="D11" i="9"/>
  <c r="D20" i="9"/>
  <c r="C3" i="9"/>
  <c r="D3" i="9" s="1"/>
  <c r="B4" i="9"/>
  <c r="D4" i="9" s="1"/>
  <c r="G20" i="8"/>
  <c r="G4" i="8" s="1"/>
  <c r="F20" i="8"/>
  <c r="F4" i="8" s="1"/>
  <c r="B20" i="8"/>
  <c r="B4" i="8" s="1"/>
  <c r="D18" i="8"/>
  <c r="D17" i="8"/>
  <c r="D16" i="8"/>
  <c r="D15" i="8"/>
  <c r="G11" i="8"/>
  <c r="G3" i="8" s="1"/>
  <c r="F11" i="8"/>
  <c r="F3" i="8" s="1"/>
  <c r="B11" i="8"/>
  <c r="B3" i="8" s="1"/>
  <c r="D10" i="8"/>
  <c r="D8" i="8"/>
  <c r="D7" i="8"/>
  <c r="C22" i="9" l="1"/>
  <c r="B22" i="9"/>
  <c r="C20" i="8"/>
  <c r="C4" i="8" s="1"/>
  <c r="B22" i="8"/>
  <c r="G22" i="8"/>
  <c r="F22" i="8"/>
  <c r="D4" i="8"/>
  <c r="D14" i="8"/>
  <c r="C17" i="7"/>
  <c r="C16" i="7"/>
  <c r="C15" i="7"/>
  <c r="C14" i="7"/>
  <c r="D22" i="9" l="1"/>
  <c r="D20" i="8"/>
  <c r="G20" i="7"/>
  <c r="G4" i="7" s="1"/>
  <c r="F20" i="7"/>
  <c r="F4" i="7" s="1"/>
  <c r="C20" i="7"/>
  <c r="C4" i="7" s="1"/>
  <c r="B20" i="7"/>
  <c r="D18" i="7"/>
  <c r="D17" i="7"/>
  <c r="D16" i="7"/>
  <c r="D15" i="7"/>
  <c r="D14" i="7"/>
  <c r="G11" i="7"/>
  <c r="G3" i="7" s="1"/>
  <c r="F11" i="7"/>
  <c r="F3" i="7" s="1"/>
  <c r="C11" i="7"/>
  <c r="C3" i="7" s="1"/>
  <c r="D10" i="7"/>
  <c r="D9" i="7"/>
  <c r="D8" i="7"/>
  <c r="D7" i="7"/>
  <c r="G22" i="7" l="1"/>
  <c r="F22" i="7"/>
  <c r="D20" i="7"/>
  <c r="C22" i="7"/>
  <c r="B11" i="7"/>
  <c r="B4" i="7"/>
  <c r="D4" i="7" s="1"/>
  <c r="B10" i="6"/>
  <c r="B14" i="6" s="1"/>
  <c r="B5" i="6" s="1"/>
  <c r="G24" i="6"/>
  <c r="G6" i="6" s="1"/>
  <c r="F24" i="6"/>
  <c r="F6" i="6" s="1"/>
  <c r="C24" i="6"/>
  <c r="C6" i="6" s="1"/>
  <c r="B24" i="6"/>
  <c r="D22" i="6"/>
  <c r="D21" i="6"/>
  <c r="D20" i="6"/>
  <c r="D19" i="6"/>
  <c r="D18" i="6"/>
  <c r="F14" i="6"/>
  <c r="F5" i="6" s="1"/>
  <c r="C14" i="6"/>
  <c r="C5" i="6" s="1"/>
  <c r="G14" i="6"/>
  <c r="G5" i="6" s="1"/>
  <c r="D12" i="6"/>
  <c r="D11" i="6"/>
  <c r="D10" i="6"/>
  <c r="D9" i="6"/>
  <c r="D11" i="7" l="1"/>
  <c r="B3" i="7"/>
  <c r="C26" i="6"/>
  <c r="D24" i="6"/>
  <c r="G26" i="6"/>
  <c r="F26" i="6"/>
  <c r="D14" i="6"/>
  <c r="D5" i="6"/>
  <c r="B6" i="6"/>
  <c r="D6" i="6" s="1"/>
  <c r="E11" i="5"/>
  <c r="E10" i="5"/>
  <c r="E11" i="4"/>
  <c r="E10" i="4"/>
  <c r="E22" i="3"/>
  <c r="E11" i="3"/>
  <c r="E10" i="3"/>
  <c r="J12" i="5"/>
  <c r="J20" i="5"/>
  <c r="I12" i="5"/>
  <c r="I20" i="5"/>
  <c r="J12" i="4"/>
  <c r="J20" i="4"/>
  <c r="I12" i="4"/>
  <c r="I20" i="4"/>
  <c r="J12" i="3"/>
  <c r="J20" i="3"/>
  <c r="I12" i="3"/>
  <c r="I20" i="3"/>
  <c r="C20" i="5"/>
  <c r="C11" i="5"/>
  <c r="C10" i="5"/>
  <c r="C20" i="4"/>
  <c r="C11" i="4"/>
  <c r="C10" i="4"/>
  <c r="C20" i="3"/>
  <c r="C11" i="3"/>
  <c r="C10" i="3"/>
  <c r="D3" i="7" l="1"/>
  <c r="B22" i="7"/>
  <c r="D22" i="7" s="1"/>
  <c r="B26" i="6"/>
  <c r="D26" i="6" s="1"/>
  <c r="J24" i="5"/>
  <c r="J6" i="5" s="1"/>
  <c r="I24" i="5"/>
  <c r="I6" i="5" s="1"/>
  <c r="E24" i="5"/>
  <c r="E6" i="5" s="1"/>
  <c r="D24" i="5"/>
  <c r="C24" i="5"/>
  <c r="G22" i="5"/>
  <c r="G21" i="5"/>
  <c r="G20" i="5"/>
  <c r="G19" i="5"/>
  <c r="G18" i="5"/>
  <c r="J14" i="5"/>
  <c r="J5" i="5" s="1"/>
  <c r="I14" i="5"/>
  <c r="E14" i="5"/>
  <c r="E5" i="5" s="1"/>
  <c r="D14" i="5"/>
  <c r="C14" i="5"/>
  <c r="C5" i="5" s="1"/>
  <c r="G12" i="5"/>
  <c r="G11" i="5"/>
  <c r="G10" i="5"/>
  <c r="G9" i="5"/>
  <c r="D6" i="5"/>
  <c r="I5" i="5"/>
  <c r="D5" i="5"/>
  <c r="D26" i="5" s="1"/>
  <c r="J24" i="4"/>
  <c r="J6" i="4" s="1"/>
  <c r="I24" i="4"/>
  <c r="I6" i="4" s="1"/>
  <c r="E24" i="4"/>
  <c r="D24" i="4"/>
  <c r="C24" i="4"/>
  <c r="C6" i="4" s="1"/>
  <c r="G22" i="4"/>
  <c r="G21" i="4"/>
  <c r="G20" i="4"/>
  <c r="G19" i="4"/>
  <c r="G18" i="4"/>
  <c r="J14" i="4"/>
  <c r="I14" i="4"/>
  <c r="E14" i="4"/>
  <c r="D14" i="4"/>
  <c r="C14" i="4"/>
  <c r="G12" i="4"/>
  <c r="G11" i="4"/>
  <c r="G10" i="4"/>
  <c r="G9" i="4"/>
  <c r="E6" i="4"/>
  <c r="D6" i="4"/>
  <c r="J5" i="4"/>
  <c r="I5" i="4"/>
  <c r="E5" i="4"/>
  <c r="D5" i="4"/>
  <c r="D26" i="4" s="1"/>
  <c r="C5" i="4"/>
  <c r="J24" i="3"/>
  <c r="J6" i="3" s="1"/>
  <c r="I24" i="3"/>
  <c r="I6" i="3" s="1"/>
  <c r="E24" i="3"/>
  <c r="E6" i="3" s="1"/>
  <c r="D24" i="3"/>
  <c r="D6" i="3" s="1"/>
  <c r="C24" i="3"/>
  <c r="G22" i="3"/>
  <c r="G21" i="3"/>
  <c r="G20" i="3"/>
  <c r="G19" i="3"/>
  <c r="G18" i="3"/>
  <c r="I14" i="3"/>
  <c r="I5" i="3" s="1"/>
  <c r="E14" i="3"/>
  <c r="E5" i="3" s="1"/>
  <c r="D14" i="3"/>
  <c r="D5" i="3" s="1"/>
  <c r="C14" i="3"/>
  <c r="C5" i="3" s="1"/>
  <c r="J14" i="3"/>
  <c r="J5" i="3" s="1"/>
  <c r="G12" i="3"/>
  <c r="G11" i="3"/>
  <c r="G10" i="3"/>
  <c r="G9" i="3"/>
  <c r="G14" i="4" l="1"/>
  <c r="J26" i="4"/>
  <c r="G14" i="5"/>
  <c r="G24" i="5"/>
  <c r="E26" i="5"/>
  <c r="E26" i="4"/>
  <c r="G6" i="4"/>
  <c r="J26" i="5"/>
  <c r="I26" i="5"/>
  <c r="I26" i="4"/>
  <c r="C6" i="5"/>
  <c r="G6" i="5" s="1"/>
  <c r="G24" i="4"/>
  <c r="C26" i="4"/>
  <c r="G5" i="5"/>
  <c r="G5" i="4"/>
  <c r="J26" i="3"/>
  <c r="I26" i="3"/>
  <c r="G24" i="3"/>
  <c r="E26" i="3"/>
  <c r="G14" i="3"/>
  <c r="D26" i="3"/>
  <c r="G5" i="3"/>
  <c r="C6" i="3"/>
  <c r="G6" i="3" s="1"/>
  <c r="I12" i="2"/>
  <c r="J12" i="2"/>
  <c r="J14" i="2" s="1"/>
  <c r="J5" i="2" s="1"/>
  <c r="J24" i="2"/>
  <c r="J6" i="2" s="1"/>
  <c r="D24" i="2"/>
  <c r="D6" i="2" s="1"/>
  <c r="E24" i="2"/>
  <c r="E6" i="2" s="1"/>
  <c r="D14" i="2"/>
  <c r="D5" i="2" s="1"/>
  <c r="E14" i="2"/>
  <c r="E5" i="2"/>
  <c r="C24" i="2"/>
  <c r="C6" i="2" s="1"/>
  <c r="C14" i="2"/>
  <c r="G14" i="2" s="1"/>
  <c r="I24" i="2"/>
  <c r="I6" i="2" s="1"/>
  <c r="I14" i="2"/>
  <c r="I5" i="2" s="1"/>
  <c r="G19" i="2"/>
  <c r="G20" i="2"/>
  <c r="G21" i="2"/>
  <c r="G22" i="2"/>
  <c r="G18" i="2"/>
  <c r="G11" i="2"/>
  <c r="G12" i="2"/>
  <c r="G10" i="2"/>
  <c r="G9" i="2"/>
  <c r="E26" i="2" l="1"/>
  <c r="G24" i="2"/>
  <c r="G26" i="4"/>
  <c r="C26" i="5"/>
  <c r="G26" i="5" s="1"/>
  <c r="C26" i="3"/>
  <c r="G26" i="3" s="1"/>
  <c r="D26" i="2"/>
  <c r="C5" i="2"/>
  <c r="I26" i="2"/>
  <c r="J26" i="2"/>
  <c r="G6" i="2"/>
  <c r="G5" i="2" l="1"/>
  <c r="C26" i="2"/>
  <c r="G26" i="2" s="1"/>
  <c r="D9" i="8"/>
  <c r="C11" i="8"/>
  <c r="C3" i="8" s="1"/>
  <c r="D3" i="8" l="1"/>
  <c r="C22" i="8"/>
  <c r="D22" i="8" s="1"/>
  <c r="D11" i="8"/>
</calcChain>
</file>

<file path=xl/sharedStrings.xml><?xml version="1.0" encoding="utf-8"?>
<sst xmlns="http://schemas.openxmlformats.org/spreadsheetml/2006/main" count="374" uniqueCount="125">
  <si>
    <t>Financial Information</t>
  </si>
  <si>
    <t>Harrogate 
on-street parking</t>
  </si>
  <si>
    <t>Harrogate 
off-street parking</t>
  </si>
  <si>
    <t>Harrogate
(total)</t>
  </si>
  <si>
    <t>Craven and Selby
on-street</t>
  </si>
  <si>
    <t>Craven and Selby
off-street</t>
  </si>
  <si>
    <t>Income total</t>
  </si>
  <si>
    <t>Expenditure total</t>
  </si>
  <si>
    <t>Income</t>
  </si>
  <si>
    <t>Pay and display</t>
  </si>
  <si>
    <t>Residents, visitors and business permits</t>
  </si>
  <si>
    <t>Other non-PCN</t>
  </si>
  <si>
    <t>PCN</t>
  </si>
  <si>
    <t>Total income</t>
  </si>
  <si>
    <t>Expenditure</t>
  </si>
  <si>
    <t>Employee costs</t>
  </si>
  <si>
    <t>Premises</t>
  </si>
  <si>
    <t>Supplies and services</t>
  </si>
  <si>
    <t>Transport</t>
  </si>
  <si>
    <t>Support services</t>
  </si>
  <si>
    <t>Total expenditure</t>
  </si>
  <si>
    <t>Surplus / deficit (-)</t>
  </si>
  <si>
    <t>2018/19</t>
  </si>
  <si>
    <t>On Street Parking</t>
  </si>
  <si>
    <t>HARROGATE ON STREET PARKING</t>
  </si>
  <si>
    <t>HARROGATE OFF STREET PARKING</t>
  </si>
  <si>
    <t>TOTAL HARROGATE</t>
  </si>
  <si>
    <t>CRAVEN &amp; SELBY ON STREET</t>
  </si>
  <si>
    <t>CRAVEN &amp; SELBY OFF STREET</t>
  </si>
  <si>
    <t>Income Total</t>
  </si>
  <si>
    <t>Expenditure Total</t>
  </si>
  <si>
    <t>Pay and Display</t>
  </si>
  <si>
    <t>Residents/Visitors/Business Permits</t>
  </si>
  <si>
    <t>Other Non-PCN income</t>
  </si>
  <si>
    <t>PCN income</t>
  </si>
  <si>
    <t>Total Income</t>
  </si>
  <si>
    <t>Employee Costs</t>
  </si>
  <si>
    <t>Supplies and Services</t>
  </si>
  <si>
    <t>Support Services</t>
  </si>
  <si>
    <t>Total Expenditure</t>
  </si>
  <si>
    <t>Surplus / Deficit (-)</t>
  </si>
  <si>
    <t>2017/18</t>
  </si>
  <si>
    <t>a/c 789</t>
  </si>
  <si>
    <t>a/c 791, 794, 795</t>
  </si>
  <si>
    <t>a/c 791, 794, 795, 793</t>
  </si>
  <si>
    <t xml:space="preserve">a/c 944, 987, </t>
  </si>
  <si>
    <t xml:space="preserve">a/c 944, 987, 861, 891, 988, 928, 621, 685, 701, 787, 788 </t>
  </si>
  <si>
    <t>a/c 792 only 5055</t>
  </si>
  <si>
    <t>all controllable employees</t>
  </si>
  <si>
    <t>all controllable prems</t>
  </si>
  <si>
    <t>all S&amp;S</t>
  </si>
  <si>
    <t>all controllable transport</t>
  </si>
  <si>
    <t>all additional</t>
  </si>
  <si>
    <t>incl cashiers</t>
  </si>
  <si>
    <t>excludes reserve transfer</t>
  </si>
  <si>
    <t>2016/17</t>
  </si>
  <si>
    <t>2015/16</t>
  </si>
  <si>
    <t>2014/15</t>
  </si>
  <si>
    <t>2013/14</t>
  </si>
  <si>
    <t>2012/2013</t>
  </si>
  <si>
    <t>2011/2012</t>
  </si>
  <si>
    <t>2010/2011</t>
  </si>
  <si>
    <t>2009/2010</t>
  </si>
  <si>
    <t>ONLY 5055</t>
  </si>
  <si>
    <t>Equivalent to 2013/14 - this is only for on street parking - with off street PCN added in at the bottom</t>
  </si>
  <si>
    <t>Off Street Parking-Cashiers incl as support</t>
  </si>
  <si>
    <t>a/c 792</t>
  </si>
  <si>
    <t>Surplus (excluding off-street PCN income)</t>
  </si>
  <si>
    <t>Off Street Parking</t>
  </si>
  <si>
    <t>PCN Income Total</t>
  </si>
  <si>
    <t>Total on-street and off-street</t>
  </si>
  <si>
    <t>Surplus (including off-street PCN income)*</t>
  </si>
  <si>
    <t>* The overall surplus does not take into consideration any expenditure related to the off street enforcement.</t>
  </si>
  <si>
    <t>HBC Car Parks Space Count</t>
  </si>
  <si>
    <t>Harrogate</t>
  </si>
  <si>
    <t>Spaces</t>
  </si>
  <si>
    <t>Disabled Spaces</t>
  </si>
  <si>
    <t>Mother &amp;Baby</t>
  </si>
  <si>
    <t>Total</t>
  </si>
  <si>
    <t>Motor Bike Bay</t>
  </si>
  <si>
    <t>Cycle Rack / Lockers</t>
  </si>
  <si>
    <t>Coach Bays</t>
  </si>
  <si>
    <t>Victoria MSCP</t>
  </si>
  <si>
    <t>Jubilee MSCP</t>
  </si>
  <si>
    <t>West Park MSCP</t>
  </si>
  <si>
    <t>Odeon SLCP</t>
  </si>
  <si>
    <t>Park View SLCP</t>
  </si>
  <si>
    <t>Dragon Road SLCP</t>
  </si>
  <si>
    <t>Montpellier Shoppers SLCP</t>
  </si>
  <si>
    <t>West Park SLCP</t>
  </si>
  <si>
    <t>Hornbeam Park SLCP</t>
  </si>
  <si>
    <t>Hornbeam Overflow</t>
  </si>
  <si>
    <t>Station Parade SLCP</t>
  </si>
  <si>
    <t>Crescent Gardens SLCP</t>
  </si>
  <si>
    <t>Pannal SLCP</t>
  </si>
  <si>
    <t>Spa Lane SLCP</t>
  </si>
  <si>
    <t>Knaresborough</t>
  </si>
  <si>
    <t>Chapel St SLCP</t>
  </si>
  <si>
    <t>Fisher St SLCP</t>
  </si>
  <si>
    <t>O</t>
  </si>
  <si>
    <t>York Place SLCP</t>
  </si>
  <si>
    <t>Conynham Hall SLCP</t>
  </si>
  <si>
    <t>Waterside SLCP</t>
  </si>
  <si>
    <t>Castleyard SLCP</t>
  </si>
  <si>
    <t>Park Row SLCP</t>
  </si>
  <si>
    <t>Abbey Rd SLCP</t>
  </si>
  <si>
    <t>Ripon</t>
  </si>
  <si>
    <t>Arcade SLCP</t>
  </si>
  <si>
    <t>Victoria Grove SLCP</t>
  </si>
  <si>
    <t>Victoria Grove (Behind GPO)</t>
  </si>
  <si>
    <t>St Marygate SLCP</t>
  </si>
  <si>
    <t>Market Place SLCP</t>
  </si>
  <si>
    <t xml:space="preserve">Blossomgate SLCP </t>
  </si>
  <si>
    <t>Marshall Way SLCP</t>
  </si>
  <si>
    <t>Pateley Bridge</t>
  </si>
  <si>
    <t>Southlands SLCP</t>
  </si>
  <si>
    <t>Nidd Walk SLCP</t>
  </si>
  <si>
    <t>Showground SLCP</t>
  </si>
  <si>
    <t>Park Rd SLCP</t>
  </si>
  <si>
    <t>Rural Car Parks</t>
  </si>
  <si>
    <t>Dacre SLCP</t>
  </si>
  <si>
    <t>Middlesmoor SLCP</t>
  </si>
  <si>
    <t>Lofthouse SLCP</t>
  </si>
  <si>
    <t>Birstwith SLCP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</si>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</sst>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2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21">
    <xf numFmtId="0" fontId="0" fillId="0" borderId="0" xfId="0"/>
    <xf numFmtId="8" fontId="0" fillId="0" borderId="0" xfId="0" applyNumberFormat="1"/>
    <xf numFmtId="0" fontId="0" fillId="0" borderId="0" xfId="0" applyFill="1"/>
    <xf numFmtId="8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1" fillId="0" borderId="0" xfId="0" applyFont="1"/>
    <xf numFmtId="0" fontId="1" fillId="0" borderId="0" xfId="0" applyFont="1" applyFill="1"/>
    <xf numFmtId="0" fontId="19" fillId="0" borderId="0" xfId="0" applyFont="1"/>
    <xf numFmtId="0" fontId="19" fillId="0" borderId="0" xfId="0" applyFont="1" applyFill="1"/>
    <xf numFmtId="0" fontId="19" fillId="0" borderId="0" xfId="0" applyFont="1" applyFill="1" applyAlignment="1">
      <alignment horizontal="right" wrapText="1"/>
    </xf>
    <xf numFmtId="0" fontId="19" fillId="0" borderId="0" xfId="0" applyFont="1" applyAlignment="1">
      <alignment horizontal="right" wrapText="1"/>
    </xf>
    <xf numFmtId="0" fontId="1" fillId="0" borderId="0" xfId="0" applyFont="1" applyFill="1" applyAlignment="1">
      <alignment horizontal="right"/>
    </xf>
    <xf numFmtId="8" fontId="1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8" fontId="19" fillId="0" borderId="0" xfId="0" applyNumberFormat="1" applyFont="1" applyFill="1" applyAlignment="1">
      <alignment horizontal="right"/>
    </xf>
    <xf numFmtId="0" fontId="0" fillId="0" borderId="0" xfId="0" applyFill="1" applyAlignment="1">
      <alignment wrapText="1"/>
    </xf>
    <xf numFmtId="3" fontId="0" fillId="0" borderId="0" xfId="0" applyNumberFormat="1" applyFill="1"/>
    <xf numFmtId="0" fontId="19" fillId="0" borderId="0" xfId="0" applyFon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hub.harrogate.local/team/FINServicesSF/SaferCommunities/MasterDetails/MDSaferCommunities2021.xlsx?NoRedirect=tru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ts"/>
      <sheetName val="Transfers"/>
      <sheetName val="Notes"/>
      <sheetName val="_control"/>
      <sheetName val="Budget Summary"/>
      <sheetName val="PP"/>
      <sheetName val="Pkg"/>
      <sheetName val="SUBSC"/>
      <sheetName val="2022"/>
      <sheetName val="Ringfenced"/>
      <sheetName val="example 2"/>
      <sheetName val="raw_oe"/>
      <sheetName val="_DLBUD"/>
      <sheetName val="Planner load OEC"/>
      <sheetName val="Planner load OE"/>
      <sheetName val="Planner load OE (3)"/>
      <sheetName val="Planner load OEC (3)"/>
      <sheetName val="check total"/>
      <sheetName val="Planner load OEC (2)"/>
      <sheetName val="Planner load OE (2)"/>
    </sheetNames>
    <sheetDataSet>
      <sheetData sheetId="0"/>
      <sheetData sheetId="1"/>
      <sheetData sheetId="2"/>
      <sheetData sheetId="3"/>
      <sheetData sheetId="4"/>
      <sheetData sheetId="5"/>
      <sheetData sheetId="6">
        <row r="62">
          <cell r="LX62">
            <v>38674.219999999994</v>
          </cell>
          <cell r="NA62">
            <v>334478.26999999996</v>
          </cell>
        </row>
        <row r="79">
          <cell r="LX79">
            <v>1307</v>
          </cell>
          <cell r="NA79">
            <v>382345.13</v>
          </cell>
        </row>
        <row r="109">
          <cell r="LX109">
            <v>7862.21</v>
          </cell>
          <cell r="NA109">
            <v>107136.65000000001</v>
          </cell>
        </row>
        <row r="117">
          <cell r="LX117">
            <v>1468.0800000000002</v>
          </cell>
          <cell r="NA117">
            <v>3712.5200000000004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Normal="100" workbookViewId="0">
      <selection activeCell="A5" sqref="A5"/>
    </sheetView>
  </sheetViews>
  <sheetFormatPr defaultColWidth="9.140625" defaultRowHeight="14.45"/>
  <cols>
    <col min="1" max="1" width="50.7109375" style="8" customWidth="1"/>
    <col min="2" max="3" width="20.7109375" style="14" customWidth="1"/>
    <col min="4" max="4" width="20.7109375" style="16" customWidth="1"/>
    <col min="5" max="5" width="10.7109375" style="8" customWidth="1"/>
    <col min="6" max="7" width="20.7109375" style="16" customWidth="1"/>
    <col min="8" max="16384" width="9.140625" style="8"/>
  </cols>
  <sheetData>
    <row r="1" spans="1:7" ht="28.9">
      <c r="A1" s="20" t="s">
        <v>0</v>
      </c>
      <c r="B1" s="12" t="s">
        <v>1</v>
      </c>
      <c r="C1" s="12" t="s">
        <v>2</v>
      </c>
      <c r="D1" s="13" t="s">
        <v>3</v>
      </c>
      <c r="E1" s="11"/>
      <c r="F1" s="13" t="s">
        <v>4</v>
      </c>
      <c r="G1" s="13" t="s">
        <v>5</v>
      </c>
    </row>
    <row r="2" spans="1:7">
      <c r="D2" s="14"/>
      <c r="E2" s="9"/>
      <c r="G2" s="14"/>
    </row>
    <row r="3" spans="1:7">
      <c r="A3" s="10" t="s">
        <v>6</v>
      </c>
      <c r="B3" s="17">
        <f>B11</f>
        <v>2423721.75</v>
      </c>
      <c r="C3" s="17">
        <f t="shared" ref="C3" si="0">C11</f>
        <v>2940200.98</v>
      </c>
      <c r="D3" s="17">
        <f>B3+C3</f>
        <v>5363922.7300000004</v>
      </c>
      <c r="E3" s="11"/>
      <c r="F3" s="17">
        <f>F11</f>
        <v>69493.16</v>
      </c>
      <c r="G3" s="17">
        <f>G11</f>
        <v>46483.07</v>
      </c>
    </row>
    <row r="4" spans="1:7">
      <c r="A4" s="10" t="s">
        <v>7</v>
      </c>
      <c r="B4" s="17">
        <f>B20</f>
        <v>909283.42</v>
      </c>
      <c r="C4" s="17">
        <f t="shared" ref="C4" si="1">C20</f>
        <v>1976976.8499999999</v>
      </c>
      <c r="D4" s="17">
        <f>B4+C4</f>
        <v>2886260.27</v>
      </c>
      <c r="E4" s="11"/>
      <c r="F4" s="17">
        <f>F20</f>
        <v>93958.970000000016</v>
      </c>
      <c r="G4" s="17">
        <f>G20</f>
        <v>70088.929999999993</v>
      </c>
    </row>
    <row r="5" spans="1:7">
      <c r="D5" s="14"/>
      <c r="E5" s="9"/>
      <c r="F5" s="14"/>
      <c r="G5" s="14"/>
    </row>
    <row r="6" spans="1:7">
      <c r="A6" s="10" t="s">
        <v>8</v>
      </c>
      <c r="D6" s="14"/>
      <c r="E6" s="9"/>
      <c r="F6" s="14"/>
      <c r="G6" s="14"/>
    </row>
    <row r="7" spans="1:7">
      <c r="A7" s="8" t="s">
        <v>9</v>
      </c>
      <c r="B7" s="15">
        <v>1821420.23</v>
      </c>
      <c r="C7" s="15">
        <v>2655090.7200000002</v>
      </c>
      <c r="D7" s="15">
        <f>B7+C7</f>
        <v>4476510.95</v>
      </c>
      <c r="E7" s="9"/>
      <c r="F7" s="15">
        <v>0</v>
      </c>
      <c r="G7" s="15">
        <v>0</v>
      </c>
    </row>
    <row r="8" spans="1:7">
      <c r="A8" s="8" t="s">
        <v>10</v>
      </c>
      <c r="B8" s="15">
        <v>122788.3</v>
      </c>
      <c r="C8" s="15">
        <v>120640.07</v>
      </c>
      <c r="D8" s="15">
        <f>B8+C8</f>
        <v>243428.37</v>
      </c>
      <c r="E8" s="9"/>
      <c r="F8" s="15">
        <v>0</v>
      </c>
      <c r="G8" s="15">
        <v>0</v>
      </c>
    </row>
    <row r="9" spans="1:7">
      <c r="A9" s="8" t="s">
        <v>11</v>
      </c>
      <c r="B9" s="15">
        <v>63046.91</v>
      </c>
      <c r="C9" s="15">
        <v>73019.44</v>
      </c>
      <c r="D9" s="15">
        <f>B9+C9</f>
        <v>136066.35</v>
      </c>
      <c r="E9" s="9"/>
      <c r="F9" s="15">
        <v>0</v>
      </c>
      <c r="G9" s="15">
        <v>0</v>
      </c>
    </row>
    <row r="10" spans="1:7">
      <c r="A10" s="8" t="s">
        <v>12</v>
      </c>
      <c r="B10" s="15">
        <v>416466.31</v>
      </c>
      <c r="C10" s="15">
        <v>91450.75</v>
      </c>
      <c r="D10" s="15">
        <f>B10+C10</f>
        <v>507917.06</v>
      </c>
      <c r="E10" s="9"/>
      <c r="F10" s="15">
        <v>69493.16</v>
      </c>
      <c r="G10" s="15">
        <v>46483.07</v>
      </c>
    </row>
    <row r="11" spans="1:7" s="10" customFormat="1">
      <c r="A11" s="10" t="s">
        <v>13</v>
      </c>
      <c r="B11" s="17">
        <f>SUM(B7:B10)</f>
        <v>2423721.75</v>
      </c>
      <c r="C11" s="17">
        <f>SUM(C7:C10)</f>
        <v>2940200.98</v>
      </c>
      <c r="D11" s="17">
        <f>B11+C11</f>
        <v>5363922.7300000004</v>
      </c>
      <c r="E11" s="11"/>
      <c r="F11" s="17">
        <f>SUM(F7:F10)</f>
        <v>69493.16</v>
      </c>
      <c r="G11" s="17">
        <f>SUM(G7:G10)</f>
        <v>46483.07</v>
      </c>
    </row>
    <row r="12" spans="1:7">
      <c r="D12" s="14"/>
      <c r="E12" s="9"/>
      <c r="F12" s="14"/>
      <c r="G12" s="14"/>
    </row>
    <row r="13" spans="1:7">
      <c r="A13" s="8" t="s">
        <v>14</v>
      </c>
      <c r="D13" s="14"/>
      <c r="E13" s="9"/>
      <c r="F13" s="14"/>
      <c r="G13" s="14"/>
    </row>
    <row r="14" spans="1:7">
      <c r="A14" s="8" t="s">
        <v>15</v>
      </c>
      <c r="B14" s="15">
        <v>470750.89</v>
      </c>
      <c r="C14" s="15">
        <v>326168.28000000003</v>
      </c>
      <c r="D14" s="15">
        <f>B14+C14</f>
        <v>796919.17</v>
      </c>
      <c r="E14" s="9"/>
      <c r="F14" s="15">
        <v>74587.520000000004</v>
      </c>
      <c r="G14" s="15">
        <v>51492.32</v>
      </c>
    </row>
    <row r="15" spans="1:7">
      <c r="A15" s="8" t="s">
        <v>16</v>
      </c>
      <c r="B15" s="15">
        <v>34946.699999999997</v>
      </c>
      <c r="C15" s="15">
        <v>390937.11</v>
      </c>
      <c r="D15" s="15">
        <f>B15+C15</f>
        <v>425883.81</v>
      </c>
      <c r="E15" s="9"/>
      <c r="F15" s="15">
        <v>0</v>
      </c>
      <c r="G15" s="15">
        <v>310</v>
      </c>
    </row>
    <row r="16" spans="1:7">
      <c r="A16" s="8" t="s">
        <v>17</v>
      </c>
      <c r="B16" s="15">
        <v>143134.98000000001</v>
      </c>
      <c r="C16" s="15">
        <v>115126.79999999999</v>
      </c>
      <c r="D16" s="15">
        <f>B16+C16</f>
        <v>258261.78</v>
      </c>
      <c r="E16" s="9"/>
      <c r="F16" s="15">
        <v>1829.24</v>
      </c>
      <c r="G16" s="15">
        <v>1763.29</v>
      </c>
    </row>
    <row r="17" spans="1:7">
      <c r="A17" s="8" t="s">
        <v>18</v>
      </c>
      <c r="B17" s="15">
        <v>1960.85</v>
      </c>
      <c r="C17" s="15">
        <v>3014.99</v>
      </c>
      <c r="D17" s="15">
        <f>B17+C17</f>
        <v>4975.84</v>
      </c>
      <c r="E17" s="9"/>
      <c r="F17" s="15">
        <v>4712.21</v>
      </c>
      <c r="G17" s="15">
        <v>4193.32</v>
      </c>
    </row>
    <row r="18" spans="1:7">
      <c r="A18" s="8" t="s">
        <v>19</v>
      </c>
      <c r="B18" s="15">
        <v>258490</v>
      </c>
      <c r="C18" s="15">
        <v>1141729.67</v>
      </c>
      <c r="D18" s="15">
        <f>B18+C18</f>
        <v>1400219.67</v>
      </c>
      <c r="E18" s="9"/>
      <c r="F18" s="15">
        <v>12830</v>
      </c>
      <c r="G18" s="15">
        <v>12330</v>
      </c>
    </row>
    <row r="19" spans="1:7">
      <c r="D19" s="14"/>
      <c r="E19" s="9"/>
      <c r="F19" s="14"/>
      <c r="G19" s="14"/>
    </row>
    <row r="20" spans="1:7" s="10" customFormat="1">
      <c r="A20" s="10" t="s">
        <v>20</v>
      </c>
      <c r="B20" s="17">
        <f>SUM(B14:B19)</f>
        <v>909283.42</v>
      </c>
      <c r="C20" s="17">
        <f t="shared" ref="C20" si="2">SUM(C14:C19)</f>
        <v>1976976.8499999999</v>
      </c>
      <c r="D20" s="17">
        <f>B20+C20</f>
        <v>2886260.27</v>
      </c>
      <c r="E20" s="11"/>
      <c r="F20" s="17">
        <f>SUM(F14:F19)</f>
        <v>93958.970000000016</v>
      </c>
      <c r="G20" s="17">
        <f>SUM(G14:G19)</f>
        <v>70088.929999999993</v>
      </c>
    </row>
    <row r="21" spans="1:7">
      <c r="D21" s="14"/>
      <c r="E21" s="9"/>
      <c r="F21" s="14"/>
      <c r="G21" s="14"/>
    </row>
    <row r="22" spans="1:7" s="10" customFormat="1">
      <c r="A22" s="10" t="s">
        <v>21</v>
      </c>
      <c r="B22" s="17">
        <f>B3-B4</f>
        <v>1514438.33</v>
      </c>
      <c r="C22" s="17">
        <f t="shared" ref="C22" si="3">C3-C4</f>
        <v>963224.13000000012</v>
      </c>
      <c r="D22" s="17">
        <f>B22+C22</f>
        <v>2477662.46</v>
      </c>
      <c r="E22" s="11"/>
      <c r="F22" s="17">
        <f>F3-F4</f>
        <v>-24465.810000000012</v>
      </c>
      <c r="G22" s="17">
        <f>G3-G4</f>
        <v>-23605.859999999993</v>
      </c>
    </row>
    <row r="23" spans="1:7">
      <c r="D23" s="14"/>
      <c r="E23" s="9"/>
      <c r="F23" s="14"/>
    </row>
    <row r="24" spans="1:7">
      <c r="D24" s="14"/>
      <c r="E24" s="9"/>
      <c r="F24" s="14"/>
    </row>
    <row r="25" spans="1:7">
      <c r="B25" s="15"/>
      <c r="D25" s="14"/>
    </row>
    <row r="26" spans="1:7">
      <c r="D26" s="14"/>
    </row>
    <row r="27" spans="1:7">
      <c r="B27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zoomScaleNormal="100" workbookViewId="0">
      <selection activeCell="C11" sqref="C11"/>
    </sheetView>
  </sheetViews>
  <sheetFormatPr defaultColWidth="9.140625" defaultRowHeight="14.45"/>
  <cols>
    <col min="1" max="1" width="50.7109375" style="8" customWidth="1"/>
    <col min="2" max="3" width="20.7109375" style="14" customWidth="1"/>
    <col min="4" max="4" width="20.7109375" style="16" customWidth="1"/>
    <col min="5" max="5" width="10.7109375" style="8" customWidth="1"/>
    <col min="6" max="7" width="20.7109375" style="16" customWidth="1"/>
    <col min="8" max="16384" width="9.140625" style="8"/>
  </cols>
  <sheetData>
    <row r="1" spans="1:7" ht="28.9">
      <c r="A1" s="20" t="s">
        <v>0</v>
      </c>
      <c r="B1" s="12" t="s">
        <v>1</v>
      </c>
      <c r="C1" s="12" t="s">
        <v>2</v>
      </c>
      <c r="D1" s="13" t="s">
        <v>3</v>
      </c>
      <c r="E1" s="11"/>
      <c r="F1" s="13" t="s">
        <v>4</v>
      </c>
      <c r="G1" s="13" t="s">
        <v>5</v>
      </c>
    </row>
    <row r="2" spans="1:7">
      <c r="D2" s="14"/>
      <c r="E2" s="9"/>
      <c r="G2" s="14"/>
    </row>
    <row r="3" spans="1:7">
      <c r="A3" s="10" t="s">
        <v>6</v>
      </c>
      <c r="B3" s="17">
        <f>B11</f>
        <v>1369208.37</v>
      </c>
      <c r="C3" s="17">
        <f t="shared" ref="C3" si="0">C11</f>
        <v>1412579.32</v>
      </c>
      <c r="D3" s="17">
        <f>B3+C3</f>
        <v>2781787.6900000004</v>
      </c>
      <c r="E3" s="11"/>
      <c r="F3" s="17">
        <f>F11</f>
        <v>32872.61</v>
      </c>
      <c r="G3" s="17">
        <f>G11</f>
        <v>26782.63</v>
      </c>
    </row>
    <row r="4" spans="1:7">
      <c r="A4" s="10" t="s">
        <v>7</v>
      </c>
      <c r="B4" s="17">
        <f>B20</f>
        <v>816127</v>
      </c>
      <c r="C4" s="17">
        <f t="shared" ref="C4" si="1">C20</f>
        <v>1803733.4</v>
      </c>
      <c r="D4" s="17">
        <f>B4+C4</f>
        <v>2619860.4</v>
      </c>
      <c r="E4" s="11"/>
      <c r="F4" s="17">
        <f>F20</f>
        <v>90769.930000000008</v>
      </c>
      <c r="G4" s="17">
        <f>G20</f>
        <v>67643.33</v>
      </c>
    </row>
    <row r="5" spans="1:7">
      <c r="D5" s="14"/>
      <c r="E5" s="9"/>
      <c r="F5" s="14"/>
      <c r="G5" s="14"/>
    </row>
    <row r="6" spans="1:7">
      <c r="A6" s="10" t="s">
        <v>8</v>
      </c>
      <c r="D6" s="14"/>
      <c r="E6" s="9"/>
      <c r="F6" s="14"/>
      <c r="G6" s="14"/>
    </row>
    <row r="7" spans="1:7">
      <c r="A7" s="8" t="s">
        <v>9</v>
      </c>
      <c r="B7" s="15">
        <v>955866.12</v>
      </c>
      <c r="C7" s="15">
        <v>1241608.53</v>
      </c>
      <c r="D7" s="15">
        <f>B7+C7</f>
        <v>2197474.65</v>
      </c>
      <c r="E7" s="9"/>
      <c r="F7" s="15">
        <v>0</v>
      </c>
      <c r="G7" s="15">
        <v>0</v>
      </c>
    </row>
    <row r="8" spans="1:7">
      <c r="A8" s="8" t="s">
        <v>10</v>
      </c>
      <c r="B8" s="15">
        <v>107977</v>
      </c>
      <c r="C8" s="15">
        <v>65262.25</v>
      </c>
      <c r="D8" s="15">
        <f>B8+C8</f>
        <v>173239.25</v>
      </c>
      <c r="E8" s="9"/>
      <c r="F8" s="15">
        <v>0</v>
      </c>
      <c r="G8" s="15">
        <v>0</v>
      </c>
    </row>
    <row r="9" spans="1:7">
      <c r="A9" s="8" t="s">
        <v>11</v>
      </c>
      <c r="B9" s="15">
        <v>46369.13</v>
      </c>
      <c r="C9" s="15">
        <v>46370.94</v>
      </c>
      <c r="D9" s="15">
        <f>B9+C9</f>
        <v>92740.07</v>
      </c>
      <c r="E9" s="9"/>
      <c r="F9" s="15">
        <v>0</v>
      </c>
      <c r="G9" s="15">
        <v>0</v>
      </c>
    </row>
    <row r="10" spans="1:7">
      <c r="A10" s="8" t="s">
        <v>12</v>
      </c>
      <c r="B10" s="15">
        <v>258996.12</v>
      </c>
      <c r="C10" s="15">
        <v>59337.599999999999</v>
      </c>
      <c r="D10" s="15">
        <f>B10+C10</f>
        <v>318333.71999999997</v>
      </c>
      <c r="E10" s="9"/>
      <c r="F10" s="15">
        <v>32872.61</v>
      </c>
      <c r="G10" s="15">
        <v>26782.63</v>
      </c>
    </row>
    <row r="11" spans="1:7" s="10" customFormat="1">
      <c r="A11" s="10" t="s">
        <v>13</v>
      </c>
      <c r="B11" s="17">
        <f>SUM(B7:B10)</f>
        <v>1369208.37</v>
      </c>
      <c r="C11" s="17">
        <f>SUM(C7:C10)</f>
        <v>1412579.32</v>
      </c>
      <c r="D11" s="17">
        <f>B11+C11</f>
        <v>2781787.6900000004</v>
      </c>
      <c r="E11" s="11"/>
      <c r="F11" s="17">
        <f>SUM(F7:F10)</f>
        <v>32872.61</v>
      </c>
      <c r="G11" s="17">
        <f>SUM(G7:G10)</f>
        <v>26782.63</v>
      </c>
    </row>
    <row r="12" spans="1:7">
      <c r="D12" s="14"/>
      <c r="E12" s="9"/>
      <c r="F12" s="14"/>
      <c r="G12" s="14"/>
    </row>
    <row r="13" spans="1:7">
      <c r="A13" s="8" t="s">
        <v>14</v>
      </c>
      <c r="D13" s="14"/>
      <c r="E13" s="9"/>
      <c r="F13" s="14"/>
      <c r="G13" s="14"/>
    </row>
    <row r="14" spans="1:7">
      <c r="A14" s="8" t="s">
        <v>15</v>
      </c>
      <c r="B14" s="15">
        <v>480897.03</v>
      </c>
      <c r="C14" s="15">
        <v>298751.21000000002</v>
      </c>
      <c r="D14" s="15">
        <f>B14+C14</f>
        <v>779648.24</v>
      </c>
      <c r="E14" s="9"/>
      <c r="F14" s="15">
        <v>73818.19</v>
      </c>
      <c r="G14" s="15">
        <v>50982.48</v>
      </c>
    </row>
    <row r="15" spans="1:7">
      <c r="A15" s="8" t="s">
        <v>16</v>
      </c>
      <c r="B15" s="15">
        <v>11622.72</v>
      </c>
      <c r="C15" s="15">
        <v>403512.04</v>
      </c>
      <c r="D15" s="15">
        <f>B15+C15</f>
        <v>415134.75999999995</v>
      </c>
      <c r="E15" s="9"/>
      <c r="F15" s="15">
        <v>0</v>
      </c>
      <c r="G15" s="15">
        <v>0</v>
      </c>
    </row>
    <row r="16" spans="1:7">
      <c r="A16" s="8" t="s">
        <v>17</v>
      </c>
      <c r="B16" s="15">
        <v>77256.399999999994</v>
      </c>
      <c r="C16" s="15">
        <v>75014.429999999993</v>
      </c>
      <c r="D16" s="15">
        <f>B16+C16</f>
        <v>152270.82999999999</v>
      </c>
      <c r="E16" s="9"/>
      <c r="F16" s="15">
        <v>1036.6300000000001</v>
      </c>
      <c r="G16" s="15">
        <v>1267.53</v>
      </c>
    </row>
    <row r="17" spans="1:7">
      <c r="A17" s="8" t="s">
        <v>18</v>
      </c>
      <c r="B17" s="15">
        <v>1960.85</v>
      </c>
      <c r="C17" s="15">
        <v>1438.26</v>
      </c>
      <c r="D17" s="15">
        <f>B17+C17</f>
        <v>3399.1099999999997</v>
      </c>
      <c r="E17" s="9"/>
      <c r="F17" s="15">
        <v>4185.1099999999997</v>
      </c>
      <c r="G17" s="15">
        <v>4193.32</v>
      </c>
    </row>
    <row r="18" spans="1:7">
      <c r="A18" s="8" t="s">
        <v>19</v>
      </c>
      <c r="B18" s="15">
        <v>244390</v>
      </c>
      <c r="C18" s="15">
        <v>1025017.46</v>
      </c>
      <c r="D18" s="15">
        <f>B18+C18</f>
        <v>1269407.46</v>
      </c>
      <c r="E18" s="9"/>
      <c r="F18" s="15">
        <v>11730</v>
      </c>
      <c r="G18" s="15">
        <v>11200</v>
      </c>
    </row>
    <row r="19" spans="1:7">
      <c r="D19" s="14"/>
      <c r="E19" s="9"/>
      <c r="F19" s="14"/>
      <c r="G19" s="14"/>
    </row>
    <row r="20" spans="1:7" s="10" customFormat="1">
      <c r="A20" s="10" t="s">
        <v>20</v>
      </c>
      <c r="B20" s="17">
        <f>SUM(B14:B19)</f>
        <v>816127</v>
      </c>
      <c r="C20" s="17">
        <f t="shared" ref="C20" si="2">SUM(C14:C19)</f>
        <v>1803733.4</v>
      </c>
      <c r="D20" s="17">
        <f>B20+C20</f>
        <v>2619860.4</v>
      </c>
      <c r="E20" s="11"/>
      <c r="F20" s="17">
        <f>SUM(F14:F19)</f>
        <v>90769.930000000008</v>
      </c>
      <c r="G20" s="17">
        <f>SUM(G14:G19)</f>
        <v>67643.33</v>
      </c>
    </row>
    <row r="21" spans="1:7">
      <c r="D21" s="14"/>
      <c r="E21" s="9"/>
      <c r="F21" s="14"/>
      <c r="G21" s="14"/>
    </row>
    <row r="22" spans="1:7" s="10" customFormat="1">
      <c r="A22" s="10" t="s">
        <v>21</v>
      </c>
      <c r="B22" s="17">
        <f>B3-B4</f>
        <v>553081.37000000011</v>
      </c>
      <c r="C22" s="17">
        <f t="shared" ref="C22" si="3">C3-C4</f>
        <v>-391154.07999999984</v>
      </c>
      <c r="D22" s="17">
        <f>B22+C22</f>
        <v>161927.29000000027</v>
      </c>
      <c r="E22" s="11"/>
      <c r="F22" s="17">
        <f>F3-F4</f>
        <v>-57897.320000000007</v>
      </c>
      <c r="G22" s="17">
        <f>G3-G4</f>
        <v>-40860.699999999997</v>
      </c>
    </row>
    <row r="23" spans="1:7">
      <c r="D23" s="14"/>
      <c r="E23" s="9"/>
      <c r="F23" s="14"/>
    </row>
    <row r="24" spans="1:7">
      <c r="D24" s="14"/>
      <c r="E24" s="9"/>
      <c r="F24" s="14"/>
    </row>
    <row r="25" spans="1:7">
      <c r="B25" s="15"/>
      <c r="D25" s="14"/>
    </row>
    <row r="26" spans="1:7">
      <c r="D26" s="14"/>
    </row>
    <row r="27" spans="1:7">
      <c r="B27" s="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zoomScaleNormal="100" workbookViewId="0">
      <selection activeCell="C14" sqref="C14"/>
    </sheetView>
  </sheetViews>
  <sheetFormatPr defaultColWidth="9.140625" defaultRowHeight="14.45"/>
  <cols>
    <col min="1" max="1" width="50.7109375" style="8" customWidth="1"/>
    <col min="2" max="3" width="20.7109375" style="14" customWidth="1"/>
    <col min="4" max="4" width="20.7109375" style="16" customWidth="1"/>
    <col min="5" max="5" width="10.7109375" style="8" customWidth="1"/>
    <col min="6" max="7" width="20.7109375" style="16" customWidth="1"/>
    <col min="8" max="16384" width="9.140625" style="8"/>
  </cols>
  <sheetData>
    <row r="1" spans="1:7" ht="28.9">
      <c r="A1" s="20" t="s">
        <v>0</v>
      </c>
      <c r="B1" s="12" t="s">
        <v>1</v>
      </c>
      <c r="C1" s="12" t="s">
        <v>2</v>
      </c>
      <c r="D1" s="13" t="s">
        <v>3</v>
      </c>
      <c r="E1" s="11"/>
      <c r="F1" s="13" t="s">
        <v>4</v>
      </c>
      <c r="G1" s="13" t="s">
        <v>5</v>
      </c>
    </row>
    <row r="2" spans="1:7">
      <c r="D2" s="14"/>
      <c r="E2" s="9"/>
      <c r="G2" s="14"/>
    </row>
    <row r="3" spans="1:7">
      <c r="A3" s="10" t="s">
        <v>6</v>
      </c>
      <c r="B3" s="17">
        <f>B11</f>
        <v>2728708.49</v>
      </c>
      <c r="C3" s="17">
        <f t="shared" ref="C3" si="0">C11</f>
        <v>3284221.59</v>
      </c>
      <c r="D3" s="17">
        <f>B3+C3</f>
        <v>6012930.0800000001</v>
      </c>
      <c r="E3" s="11"/>
      <c r="F3" s="17">
        <f>F11</f>
        <v>58994.84</v>
      </c>
      <c r="G3" s="17">
        <f>G11</f>
        <v>64920.55</v>
      </c>
    </row>
    <row r="4" spans="1:7">
      <c r="A4" s="10" t="s">
        <v>7</v>
      </c>
      <c r="B4" s="17">
        <f>B20</f>
        <v>860311.22</v>
      </c>
      <c r="C4" s="17">
        <f t="shared" ref="C4" si="1">C20</f>
        <v>1797329.8099999998</v>
      </c>
      <c r="D4" s="17">
        <f>B4+C4</f>
        <v>2657641.0299999998</v>
      </c>
      <c r="E4" s="11"/>
      <c r="F4" s="17">
        <f>F20</f>
        <v>93564.73</v>
      </c>
      <c r="G4" s="17">
        <f>G20</f>
        <v>69881.709999999992</v>
      </c>
    </row>
    <row r="5" spans="1:7">
      <c r="D5" s="14"/>
      <c r="E5" s="9"/>
      <c r="F5" s="14"/>
      <c r="G5" s="14"/>
    </row>
    <row r="6" spans="1:7">
      <c r="A6" s="10" t="s">
        <v>8</v>
      </c>
      <c r="D6" s="14"/>
      <c r="E6" s="9"/>
      <c r="F6" s="14"/>
      <c r="G6" s="14"/>
    </row>
    <row r="7" spans="1:7">
      <c r="A7" s="8" t="s">
        <v>9</v>
      </c>
      <c r="B7" s="15">
        <v>2054504.32</v>
      </c>
      <c r="C7" s="15">
        <v>2875853.96</v>
      </c>
      <c r="D7" s="15">
        <f>B7+C7</f>
        <v>4930358.28</v>
      </c>
      <c r="E7" s="9"/>
      <c r="F7" s="15">
        <v>0</v>
      </c>
      <c r="G7" s="15">
        <v>0</v>
      </c>
    </row>
    <row r="8" spans="1:7">
      <c r="A8" s="8" t="s">
        <v>10</v>
      </c>
      <c r="B8" s="15">
        <v>163142.17000000001</v>
      </c>
      <c r="C8" s="15">
        <v>185788.73</v>
      </c>
      <c r="D8" s="15">
        <f>B8+C8</f>
        <v>348930.9</v>
      </c>
      <c r="E8" s="9"/>
      <c r="F8" s="15">
        <v>0</v>
      </c>
      <c r="G8" s="15">
        <v>0</v>
      </c>
    </row>
    <row r="9" spans="1:7">
      <c r="A9" s="8" t="s">
        <v>11</v>
      </c>
      <c r="B9" s="15">
        <v>44325.07</v>
      </c>
      <c r="C9" s="15">
        <v>116201.79</v>
      </c>
      <c r="D9" s="15">
        <f>B9+C9</f>
        <v>160526.85999999999</v>
      </c>
      <c r="E9" s="9"/>
      <c r="F9" s="15">
        <v>0</v>
      </c>
      <c r="G9" s="15">
        <v>0</v>
      </c>
    </row>
    <row r="10" spans="1:7">
      <c r="A10" s="8" t="s">
        <v>12</v>
      </c>
      <c r="B10" s="15">
        <v>466736.93</v>
      </c>
      <c r="C10" s="15">
        <v>106377.11</v>
      </c>
      <c r="D10" s="15">
        <f>B10+C10</f>
        <v>573114.04</v>
      </c>
      <c r="E10" s="9"/>
      <c r="F10" s="15">
        <v>58994.84</v>
      </c>
      <c r="G10" s="15">
        <v>64920.55</v>
      </c>
    </row>
    <row r="11" spans="1:7" s="10" customFormat="1">
      <c r="A11" s="10" t="s">
        <v>13</v>
      </c>
      <c r="B11" s="17">
        <f>SUM(B7:B10)</f>
        <v>2728708.49</v>
      </c>
      <c r="C11" s="17">
        <f>SUM(C7:C10)</f>
        <v>3284221.59</v>
      </c>
      <c r="D11" s="17">
        <f>B11+C11</f>
        <v>6012930.0800000001</v>
      </c>
      <c r="E11" s="11"/>
      <c r="F11" s="17">
        <f>SUM(F7:F10)</f>
        <v>58994.84</v>
      </c>
      <c r="G11" s="17">
        <f>SUM(G7:G10)</f>
        <v>64920.55</v>
      </c>
    </row>
    <row r="12" spans="1:7">
      <c r="D12" s="14"/>
      <c r="E12" s="9"/>
      <c r="F12" s="14"/>
      <c r="G12" s="14"/>
    </row>
    <row r="13" spans="1:7">
      <c r="A13" s="8" t="s">
        <v>14</v>
      </c>
      <c r="D13" s="14"/>
      <c r="E13" s="9"/>
      <c r="F13" s="14"/>
      <c r="G13" s="14"/>
    </row>
    <row r="14" spans="1:7">
      <c r="A14" s="8" t="s">
        <v>15</v>
      </c>
      <c r="B14" s="15">
        <v>482738.73</v>
      </c>
      <c r="C14" s="15">
        <f>[1]Pkg!$NA$62-[1]Pkg!$LX$62</f>
        <v>295804.05</v>
      </c>
      <c r="D14" s="15">
        <f>B14+C14</f>
        <v>778542.78</v>
      </c>
      <c r="E14" s="9"/>
      <c r="F14" s="15">
        <v>73584.149999999994</v>
      </c>
      <c r="G14" s="15">
        <v>51516.27</v>
      </c>
    </row>
    <row r="15" spans="1:7">
      <c r="A15" s="8" t="s">
        <v>16</v>
      </c>
      <c r="B15" s="15">
        <v>16145.18</v>
      </c>
      <c r="C15" s="15">
        <f>[1]Pkg!$NA$79-[1]Pkg!$LX$79</f>
        <v>381038.13</v>
      </c>
      <c r="D15" s="15">
        <f>B15+C15</f>
        <v>397183.31</v>
      </c>
      <c r="E15" s="9"/>
      <c r="F15" s="15">
        <v>2.7</v>
      </c>
      <c r="G15" s="15">
        <v>0</v>
      </c>
    </row>
    <row r="16" spans="1:7">
      <c r="A16" s="8" t="s">
        <v>17</v>
      </c>
      <c r="B16" s="15">
        <v>120186.21</v>
      </c>
      <c r="C16" s="15">
        <f>[1]Pkg!$NA$109-[1]Pkg!$LX$109</f>
        <v>99274.44</v>
      </c>
      <c r="D16" s="15">
        <f>B16+C16</f>
        <v>219460.65000000002</v>
      </c>
      <c r="E16" s="9"/>
      <c r="F16" s="15">
        <v>3954.78</v>
      </c>
      <c r="G16" s="15">
        <v>2955.53</v>
      </c>
    </row>
    <row r="17" spans="1:7">
      <c r="A17" s="8" t="s">
        <v>18</v>
      </c>
      <c r="B17" s="15">
        <v>2801.1</v>
      </c>
      <c r="C17" s="15">
        <f>[1]Pkg!$NA$117-[1]Pkg!$LX$117</f>
        <v>2244.4400000000005</v>
      </c>
      <c r="D17" s="15">
        <f>B17+C17</f>
        <v>5045.5400000000009</v>
      </c>
      <c r="E17" s="9"/>
      <c r="F17" s="15">
        <v>4583.1000000000004</v>
      </c>
      <c r="G17" s="15">
        <v>4449.91</v>
      </c>
    </row>
    <row r="18" spans="1:7">
      <c r="A18" s="8" t="s">
        <v>19</v>
      </c>
      <c r="B18" s="15">
        <v>238440</v>
      </c>
      <c r="C18" s="15">
        <v>1018968.75</v>
      </c>
      <c r="D18" s="15">
        <f>B18+C18</f>
        <v>1257408.75</v>
      </c>
      <c r="E18" s="9"/>
      <c r="F18" s="15">
        <v>11440</v>
      </c>
      <c r="G18" s="15">
        <v>10960</v>
      </c>
    </row>
    <row r="19" spans="1:7">
      <c r="D19" s="14"/>
      <c r="E19" s="9"/>
      <c r="F19" s="14"/>
      <c r="G19" s="14"/>
    </row>
    <row r="20" spans="1:7" s="10" customFormat="1">
      <c r="A20" s="10" t="s">
        <v>20</v>
      </c>
      <c r="B20" s="17">
        <f>SUM(B14:B19)</f>
        <v>860311.22</v>
      </c>
      <c r="C20" s="17">
        <f t="shared" ref="C20" si="2">SUM(C14:C19)</f>
        <v>1797329.8099999998</v>
      </c>
      <c r="D20" s="17">
        <f>B20+C20</f>
        <v>2657641.0299999998</v>
      </c>
      <c r="E20" s="11"/>
      <c r="F20" s="17">
        <f>SUM(F14:F19)</f>
        <v>93564.73</v>
      </c>
      <c r="G20" s="17">
        <f>SUM(G14:G19)</f>
        <v>69881.709999999992</v>
      </c>
    </row>
    <row r="21" spans="1:7">
      <c r="D21" s="14"/>
      <c r="E21" s="9"/>
      <c r="F21" s="14"/>
      <c r="G21" s="14"/>
    </row>
    <row r="22" spans="1:7" s="10" customFormat="1">
      <c r="A22" s="10" t="s">
        <v>21</v>
      </c>
      <c r="B22" s="17">
        <f>B3-B4</f>
        <v>1868397.2700000003</v>
      </c>
      <c r="C22" s="17">
        <f t="shared" ref="C22" si="3">C3-C4</f>
        <v>1486891.78</v>
      </c>
      <c r="D22" s="17">
        <f>B22+C22</f>
        <v>3355289.0500000003</v>
      </c>
      <c r="E22" s="11"/>
      <c r="F22" s="17">
        <f>F3-F4</f>
        <v>-34569.89</v>
      </c>
      <c r="G22" s="17">
        <f>G3-G4</f>
        <v>-4961.1599999999889</v>
      </c>
    </row>
    <row r="23" spans="1:7">
      <c r="D23" s="14"/>
      <c r="E23" s="9"/>
      <c r="F23" s="14"/>
    </row>
    <row r="24" spans="1:7">
      <c r="D24" s="14"/>
      <c r="E24" s="9"/>
      <c r="F24" s="14"/>
    </row>
    <row r="25" spans="1:7">
      <c r="B25" s="15"/>
      <c r="D25" s="14"/>
    </row>
    <row r="26" spans="1:7">
      <c r="D26" s="14"/>
    </row>
    <row r="27" spans="1:7">
      <c r="B27" s="1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workbookViewId="0">
      <selection activeCell="C18" sqref="C18"/>
    </sheetView>
  </sheetViews>
  <sheetFormatPr defaultRowHeight="13.15"/>
  <cols>
    <col min="1" max="1" width="91.42578125" bestFit="1" customWidth="1"/>
    <col min="2" max="2" width="21.7109375" style="2" customWidth="1"/>
    <col min="3" max="3" width="12.7109375" style="2" bestFit="1" customWidth="1"/>
    <col min="4" max="4" width="13.42578125" customWidth="1"/>
    <col min="6" max="6" width="10.7109375" bestFit="1" customWidth="1"/>
    <col min="7" max="7" width="11.7109375" bestFit="1" customWidth="1"/>
  </cols>
  <sheetData>
    <row r="1" spans="1:7">
      <c r="A1" t="s">
        <v>0</v>
      </c>
      <c r="B1" s="7" t="s">
        <v>22</v>
      </c>
      <c r="C1" s="7" t="s">
        <v>22</v>
      </c>
      <c r="D1" s="7" t="s">
        <v>22</v>
      </c>
      <c r="E1" s="4"/>
      <c r="F1" s="7" t="s">
        <v>22</v>
      </c>
      <c r="G1" s="7" t="s">
        <v>22</v>
      </c>
    </row>
    <row r="3" spans="1:7" ht="39.6">
      <c r="A3" t="s">
        <v>23</v>
      </c>
      <c r="B3" s="6" t="s">
        <v>24</v>
      </c>
      <c r="C3" s="6" t="s">
        <v>25</v>
      </c>
      <c r="D3" s="5" t="s">
        <v>26</v>
      </c>
      <c r="E3" s="2"/>
      <c r="F3" s="5" t="s">
        <v>27</v>
      </c>
      <c r="G3" s="5" t="s">
        <v>28</v>
      </c>
    </row>
    <row r="4" spans="1:7">
      <c r="D4" s="2"/>
      <c r="E4" s="2"/>
      <c r="G4" s="2"/>
    </row>
    <row r="5" spans="1:7">
      <c r="A5" t="s">
        <v>29</v>
      </c>
      <c r="B5" s="3">
        <f>B14</f>
        <v>2961985.2800000003</v>
      </c>
      <c r="C5" s="3">
        <f t="shared" ref="C5" si="0">C14</f>
        <v>3367860.76</v>
      </c>
      <c r="D5" s="3">
        <f>B5+C5</f>
        <v>6329846.04</v>
      </c>
      <c r="E5" s="2"/>
      <c r="F5" s="3">
        <f>F14</f>
        <v>59463.71</v>
      </c>
      <c r="G5" s="3">
        <f>G14</f>
        <v>68218.69</v>
      </c>
    </row>
    <row r="6" spans="1:7">
      <c r="A6" t="s">
        <v>30</v>
      </c>
      <c r="B6" s="3">
        <f>B24</f>
        <v>872737.29</v>
      </c>
      <c r="C6" s="3">
        <f t="shared" ref="C6" si="1">C24</f>
        <v>1831522.2999999998</v>
      </c>
      <c r="D6" s="3">
        <f>B6+C6</f>
        <v>2704259.59</v>
      </c>
      <c r="E6" s="2"/>
      <c r="F6" s="3">
        <f>F24</f>
        <v>93576.15</v>
      </c>
      <c r="G6" s="3">
        <f>G24</f>
        <v>71141.179999999993</v>
      </c>
    </row>
    <row r="7" spans="1:7">
      <c r="D7" s="2"/>
      <c r="E7" s="2"/>
      <c r="F7" s="2"/>
      <c r="G7" s="2"/>
    </row>
    <row r="8" spans="1:7">
      <c r="A8" t="s">
        <v>8</v>
      </c>
      <c r="D8" s="2"/>
      <c r="E8" s="2"/>
      <c r="F8" s="2"/>
      <c r="G8" s="2"/>
    </row>
    <row r="9" spans="1:7">
      <c r="A9" t="s">
        <v>31</v>
      </c>
      <c r="B9" s="3">
        <v>2215376.27</v>
      </c>
      <c r="C9" s="3">
        <v>2983684.76</v>
      </c>
      <c r="D9" s="3">
        <f>B9+C9</f>
        <v>5199061.0299999993</v>
      </c>
      <c r="E9" s="2"/>
      <c r="F9" s="3">
        <v>0</v>
      </c>
      <c r="G9" s="3">
        <v>0</v>
      </c>
    </row>
    <row r="10" spans="1:7">
      <c r="A10" t="s">
        <v>32</v>
      </c>
      <c r="B10" s="3">
        <f>76562+91053+16249</f>
        <v>183864</v>
      </c>
      <c r="C10" s="3">
        <v>184917.11</v>
      </c>
      <c r="D10" s="3">
        <f>B10+C10</f>
        <v>368781.11</v>
      </c>
      <c r="E10" s="2"/>
      <c r="F10" s="3">
        <v>0</v>
      </c>
      <c r="G10" s="3">
        <v>0</v>
      </c>
    </row>
    <row r="11" spans="1:7">
      <c r="A11" t="s">
        <v>33</v>
      </c>
      <c r="B11" s="3">
        <v>43483.25</v>
      </c>
      <c r="C11" s="3">
        <v>92408.1</v>
      </c>
      <c r="D11" s="3">
        <f>B11+C11</f>
        <v>135891.35</v>
      </c>
      <c r="E11" s="2"/>
      <c r="F11" s="3">
        <v>0</v>
      </c>
      <c r="G11" s="3">
        <v>0</v>
      </c>
    </row>
    <row r="12" spans="1:7">
      <c r="A12" t="s">
        <v>34</v>
      </c>
      <c r="B12" s="3">
        <v>519261.76</v>
      </c>
      <c r="C12" s="3">
        <v>106850.79</v>
      </c>
      <c r="D12" s="3">
        <f>B12+C12</f>
        <v>626112.55000000005</v>
      </c>
      <c r="E12" s="2"/>
      <c r="F12" s="3">
        <v>59463.71</v>
      </c>
      <c r="G12" s="3">
        <v>68218.69</v>
      </c>
    </row>
    <row r="13" spans="1:7">
      <c r="D13" s="2"/>
      <c r="E13" s="2"/>
      <c r="F13" s="2"/>
      <c r="G13" s="2"/>
    </row>
    <row r="14" spans="1:7">
      <c r="A14" t="s">
        <v>35</v>
      </c>
      <c r="B14" s="3">
        <f>SUM(B9:B13)</f>
        <v>2961985.2800000003</v>
      </c>
      <c r="C14" s="3">
        <f t="shared" ref="C14" si="2">SUM(C9:C13)</f>
        <v>3367860.76</v>
      </c>
      <c r="D14" s="3">
        <f>B14+C14</f>
        <v>6329846.04</v>
      </c>
      <c r="E14" s="2"/>
      <c r="F14" s="3">
        <f>SUM(F9:F13)</f>
        <v>59463.71</v>
      </c>
      <c r="G14" s="3">
        <f>SUM(G9:G13)</f>
        <v>68218.69</v>
      </c>
    </row>
    <row r="15" spans="1:7">
      <c r="D15" s="2"/>
      <c r="E15" s="2"/>
      <c r="F15" s="2"/>
      <c r="G15" s="2"/>
    </row>
    <row r="16" spans="1:7">
      <c r="D16" s="2"/>
      <c r="E16" s="2"/>
      <c r="F16" s="2"/>
      <c r="G16" s="2"/>
    </row>
    <row r="17" spans="1:7">
      <c r="A17" t="s">
        <v>14</v>
      </c>
      <c r="D17" s="2"/>
      <c r="E17" s="2"/>
      <c r="F17" s="2"/>
      <c r="G17" s="2"/>
    </row>
    <row r="18" spans="1:7">
      <c r="A18" t="s">
        <v>36</v>
      </c>
      <c r="B18" s="3">
        <v>496194.77</v>
      </c>
      <c r="C18" s="3">
        <v>305023.68</v>
      </c>
      <c r="D18" s="3">
        <f>B18+C18</f>
        <v>801218.45</v>
      </c>
      <c r="E18" s="2"/>
      <c r="F18" s="3">
        <v>71618.149999999994</v>
      </c>
      <c r="G18" s="3">
        <v>49690.67</v>
      </c>
    </row>
    <row r="19" spans="1:7">
      <c r="A19" t="s">
        <v>16</v>
      </c>
      <c r="B19" s="3">
        <v>22991.94</v>
      </c>
      <c r="C19" s="3">
        <v>466289.94</v>
      </c>
      <c r="D19" s="3">
        <f>B19+C19</f>
        <v>489281.88</v>
      </c>
      <c r="E19" s="2"/>
      <c r="F19" s="3">
        <v>6.6</v>
      </c>
      <c r="G19" s="3">
        <v>6.6</v>
      </c>
    </row>
    <row r="20" spans="1:7">
      <c r="A20" t="s">
        <v>37</v>
      </c>
      <c r="B20" s="3">
        <v>117801.63</v>
      </c>
      <c r="C20" s="3">
        <v>66772.12</v>
      </c>
      <c r="D20" s="3">
        <f>B20+C20</f>
        <v>184573.75</v>
      </c>
      <c r="E20" s="2"/>
      <c r="F20" s="3">
        <v>5728.51</v>
      </c>
      <c r="G20" s="3">
        <v>5701.31</v>
      </c>
    </row>
    <row r="21" spans="1:7">
      <c r="A21" t="s">
        <v>18</v>
      </c>
      <c r="B21" s="3">
        <v>2578.9499999999998</v>
      </c>
      <c r="C21" s="3">
        <v>1885.32</v>
      </c>
      <c r="D21" s="3">
        <f>B21+C21</f>
        <v>4464.2699999999995</v>
      </c>
      <c r="E21" s="2"/>
      <c r="F21" s="3">
        <v>5052.8900000000003</v>
      </c>
      <c r="G21" s="3">
        <v>5052.6000000000004</v>
      </c>
    </row>
    <row r="22" spans="1:7">
      <c r="A22" t="s">
        <v>38</v>
      </c>
      <c r="B22" s="3">
        <v>233170</v>
      </c>
      <c r="C22" s="3">
        <v>991551.24</v>
      </c>
      <c r="D22" s="3">
        <f>B22+C22</f>
        <v>1224721.24</v>
      </c>
      <c r="E22" s="2"/>
      <c r="F22" s="3">
        <v>11170</v>
      </c>
      <c r="G22" s="3">
        <v>10690</v>
      </c>
    </row>
    <row r="23" spans="1:7">
      <c r="D23" s="2"/>
      <c r="E23" s="2"/>
      <c r="F23" s="2"/>
      <c r="G23" s="2"/>
    </row>
    <row r="24" spans="1:7">
      <c r="A24" t="s">
        <v>39</v>
      </c>
      <c r="B24" s="3">
        <f>SUM(B18:B23)</f>
        <v>872737.29</v>
      </c>
      <c r="C24" s="3">
        <f t="shared" ref="C24" si="3">SUM(C18:C23)</f>
        <v>1831522.2999999998</v>
      </c>
      <c r="D24" s="3">
        <f>B24+C24</f>
        <v>2704259.59</v>
      </c>
      <c r="E24" s="2"/>
      <c r="F24" s="3">
        <f>SUM(F18:F23)</f>
        <v>93576.15</v>
      </c>
      <c r="G24" s="3">
        <f>SUM(G18:G23)</f>
        <v>71141.179999999993</v>
      </c>
    </row>
    <row r="25" spans="1:7">
      <c r="D25" s="2"/>
      <c r="E25" s="2"/>
      <c r="F25" s="2"/>
      <c r="G25" s="2"/>
    </row>
    <row r="26" spans="1:7">
      <c r="A26" t="s">
        <v>40</v>
      </c>
      <c r="B26" s="3">
        <f>B5-B6</f>
        <v>2089247.9900000002</v>
      </c>
      <c r="C26" s="3">
        <f t="shared" ref="C26" si="4">C5-C6</f>
        <v>1536338.46</v>
      </c>
      <c r="D26" s="3">
        <f>B26+C26</f>
        <v>3625586.45</v>
      </c>
      <c r="E26" s="2"/>
      <c r="F26" s="3">
        <f>F5-F6</f>
        <v>-34112.439999999995</v>
      </c>
      <c r="G26" s="3">
        <f>G5-G6</f>
        <v>-2922.4899999999907</v>
      </c>
    </row>
    <row r="27" spans="1:7">
      <c r="D27" s="2"/>
      <c r="E27" s="2"/>
      <c r="F27" s="2"/>
    </row>
    <row r="28" spans="1:7">
      <c r="D28" s="2"/>
      <c r="E28" s="2"/>
      <c r="F28" s="2"/>
    </row>
    <row r="29" spans="1:7">
      <c r="D29" s="2"/>
    </row>
    <row r="30" spans="1:7">
      <c r="D30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6"/>
  <sheetViews>
    <sheetView workbookViewId="0">
      <selection activeCell="E11" sqref="E11"/>
    </sheetView>
  </sheetViews>
  <sheetFormatPr defaultRowHeight="13.15"/>
  <cols>
    <col min="1" max="1" width="91.42578125" bestFit="1" customWidth="1"/>
    <col min="3" max="3" width="21.7109375" style="2" customWidth="1"/>
    <col min="4" max="4" width="22.85546875" style="2" hidden="1" customWidth="1"/>
    <col min="5" max="5" width="12.7109375" style="2" bestFit="1" customWidth="1"/>
    <col min="6" max="6" width="50.5703125" hidden="1" customWidth="1"/>
    <col min="7" max="7" width="13.42578125" customWidth="1"/>
    <col min="9" max="9" width="10.7109375" bestFit="1" customWidth="1"/>
    <col min="10" max="10" width="11.7109375" bestFit="1" customWidth="1"/>
  </cols>
  <sheetData>
    <row r="1" spans="1:10">
      <c r="A1" t="s">
        <v>0</v>
      </c>
      <c r="C1" s="7" t="s">
        <v>41</v>
      </c>
      <c r="D1" s="7"/>
      <c r="E1" s="7" t="s">
        <v>41</v>
      </c>
      <c r="F1" s="4"/>
      <c r="G1" s="7" t="s">
        <v>41</v>
      </c>
      <c r="H1" s="4"/>
      <c r="I1" s="7" t="s">
        <v>41</v>
      </c>
      <c r="J1" s="7" t="s">
        <v>41</v>
      </c>
    </row>
    <row r="3" spans="1:10" ht="39.6">
      <c r="A3" t="s">
        <v>23</v>
      </c>
      <c r="C3" s="6" t="s">
        <v>24</v>
      </c>
      <c r="D3" s="7"/>
      <c r="E3" s="6" t="s">
        <v>25</v>
      </c>
      <c r="F3" s="4"/>
      <c r="G3" s="5" t="s">
        <v>26</v>
      </c>
      <c r="I3" s="5" t="s">
        <v>27</v>
      </c>
      <c r="J3" s="5" t="s">
        <v>28</v>
      </c>
    </row>
    <row r="5" spans="1:10">
      <c r="A5" t="s">
        <v>29</v>
      </c>
      <c r="C5" s="3">
        <f>C14</f>
        <v>2938572.61</v>
      </c>
      <c r="D5" s="3">
        <f t="shared" ref="D5:E5" si="0">D14</f>
        <v>0</v>
      </c>
      <c r="E5" s="3">
        <f t="shared" si="0"/>
        <v>3436690.75</v>
      </c>
      <c r="G5" s="1">
        <f>C5+E5</f>
        <v>6375263.3599999994</v>
      </c>
      <c r="I5" s="3">
        <f>I14</f>
        <v>59675.5</v>
      </c>
      <c r="J5" s="3">
        <f>J14</f>
        <v>57652.729999999996</v>
      </c>
    </row>
    <row r="6" spans="1:10">
      <c r="A6" t="s">
        <v>30</v>
      </c>
      <c r="C6" s="3">
        <f>C24</f>
        <v>813059.82000000007</v>
      </c>
      <c r="D6" s="3">
        <f t="shared" ref="D6:E6" si="1">D24</f>
        <v>0</v>
      </c>
      <c r="E6" s="3">
        <f t="shared" si="1"/>
        <v>1048925.43</v>
      </c>
      <c r="G6" s="1">
        <f>C6+E6</f>
        <v>1861985.25</v>
      </c>
      <c r="I6" s="3">
        <f>I24</f>
        <v>90613.02</v>
      </c>
      <c r="J6" s="3">
        <f>J24</f>
        <v>68652.66</v>
      </c>
    </row>
    <row r="7" spans="1:10">
      <c r="I7" s="2"/>
      <c r="J7" s="2"/>
    </row>
    <row r="8" spans="1:10">
      <c r="A8" t="s">
        <v>8</v>
      </c>
      <c r="I8" s="2"/>
      <c r="J8" s="2"/>
    </row>
    <row r="9" spans="1:10">
      <c r="A9" t="s">
        <v>31</v>
      </c>
      <c r="C9" s="3">
        <v>2245939.5099999998</v>
      </c>
      <c r="D9" s="2" t="s">
        <v>42</v>
      </c>
      <c r="E9" s="3">
        <v>3063345.19</v>
      </c>
      <c r="F9" t="s">
        <v>42</v>
      </c>
      <c r="G9" s="1">
        <f>C9+E9</f>
        <v>5309284.6999999993</v>
      </c>
      <c r="I9" s="3">
        <v>0</v>
      </c>
      <c r="J9" s="3">
        <v>0</v>
      </c>
    </row>
    <row r="10" spans="1:10">
      <c r="A10" t="s">
        <v>32</v>
      </c>
      <c r="C10" s="3">
        <v>125118</v>
      </c>
      <c r="D10" s="2" t="s">
        <v>43</v>
      </c>
      <c r="E10" s="3">
        <v>174675.42</v>
      </c>
      <c r="F10" t="s">
        <v>44</v>
      </c>
      <c r="G10" s="1">
        <f>C10+E10</f>
        <v>299793.42000000004</v>
      </c>
      <c r="I10" s="3">
        <v>0</v>
      </c>
      <c r="J10" s="3">
        <v>0</v>
      </c>
    </row>
    <row r="11" spans="1:10">
      <c r="A11" t="s">
        <v>33</v>
      </c>
      <c r="C11" s="3">
        <v>38941.93</v>
      </c>
      <c r="D11" s="2" t="s">
        <v>45</v>
      </c>
      <c r="E11" s="3">
        <v>96260.45</v>
      </c>
      <c r="F11" t="s">
        <v>46</v>
      </c>
      <c r="G11" s="1">
        <f>C11+E11</f>
        <v>135202.38</v>
      </c>
      <c r="I11" s="3">
        <v>0</v>
      </c>
      <c r="J11" s="3">
        <v>0</v>
      </c>
    </row>
    <row r="12" spans="1:10">
      <c r="A12" t="s">
        <v>34</v>
      </c>
      <c r="C12" s="3">
        <v>528573.17000000004</v>
      </c>
      <c r="D12" s="2" t="s">
        <v>47</v>
      </c>
      <c r="E12" s="3">
        <v>102409.69</v>
      </c>
      <c r="F12" t="s">
        <v>47</v>
      </c>
      <c r="G12" s="1">
        <f>C12+E12</f>
        <v>630982.8600000001</v>
      </c>
      <c r="I12" s="3">
        <f>33974.75+25700.75</f>
        <v>59675.5</v>
      </c>
      <c r="J12" s="3">
        <f>40346.2+17306.53</f>
        <v>57652.729999999996</v>
      </c>
    </row>
    <row r="13" spans="1:10">
      <c r="I13" s="2"/>
      <c r="J13" s="2"/>
    </row>
    <row r="14" spans="1:10">
      <c r="A14" t="s">
        <v>35</v>
      </c>
      <c r="C14" s="3">
        <f>SUM(C9:C13)</f>
        <v>2938572.61</v>
      </c>
      <c r="D14" s="3">
        <f t="shared" ref="D14:E14" si="2">SUM(D9:D13)</f>
        <v>0</v>
      </c>
      <c r="E14" s="3">
        <f t="shared" si="2"/>
        <v>3436690.75</v>
      </c>
      <c r="G14" s="1">
        <f>C14+E14</f>
        <v>6375263.3599999994</v>
      </c>
      <c r="I14" s="3">
        <f>SUM(I9:I13)</f>
        <v>59675.5</v>
      </c>
      <c r="J14" s="3">
        <f>SUM(J9:J13)</f>
        <v>57652.729999999996</v>
      </c>
    </row>
    <row r="15" spans="1:10">
      <c r="I15" s="2"/>
      <c r="J15" s="2"/>
    </row>
    <row r="16" spans="1:10">
      <c r="I16" s="2"/>
      <c r="J16" s="2"/>
    </row>
    <row r="17" spans="1:10">
      <c r="A17" t="s">
        <v>14</v>
      </c>
      <c r="I17" s="2"/>
      <c r="J17" s="2"/>
    </row>
    <row r="18" spans="1:10">
      <c r="A18" t="s">
        <v>36</v>
      </c>
      <c r="C18" s="3">
        <v>486657.59</v>
      </c>
      <c r="D18" s="2" t="s">
        <v>48</v>
      </c>
      <c r="E18" s="3">
        <v>307050.53999999998</v>
      </c>
      <c r="G18" s="1">
        <f>C18+E18</f>
        <v>793708.13</v>
      </c>
      <c r="I18" s="3">
        <v>68466.45</v>
      </c>
      <c r="J18" s="3">
        <v>47495.77</v>
      </c>
    </row>
    <row r="19" spans="1:10">
      <c r="A19" t="s">
        <v>16</v>
      </c>
      <c r="C19" s="3">
        <v>24817.1</v>
      </c>
      <c r="D19" s="2" t="s">
        <v>49</v>
      </c>
      <c r="E19" s="3">
        <v>399063.42</v>
      </c>
      <c r="G19" s="1">
        <f t="shared" ref="G19:G26" si="3">C19+E19</f>
        <v>423880.51999999996</v>
      </c>
      <c r="I19" s="3">
        <v>0</v>
      </c>
      <c r="J19" s="3">
        <v>0</v>
      </c>
    </row>
    <row r="20" spans="1:10">
      <c r="A20" t="s">
        <v>37</v>
      </c>
      <c r="C20" s="3">
        <v>70387.08</v>
      </c>
      <c r="D20" s="2" t="s">
        <v>50</v>
      </c>
      <c r="E20" s="3">
        <v>56543.839999999997</v>
      </c>
      <c r="G20" s="1">
        <f t="shared" si="3"/>
        <v>126930.92</v>
      </c>
      <c r="I20" s="3">
        <v>3232.86</v>
      </c>
      <c r="J20" s="3">
        <v>2845.73</v>
      </c>
    </row>
    <row r="21" spans="1:10">
      <c r="A21" t="s">
        <v>18</v>
      </c>
      <c r="C21" s="3">
        <v>2750.61</v>
      </c>
      <c r="D21" s="2" t="s">
        <v>51</v>
      </c>
      <c r="E21" s="3">
        <v>1961.33</v>
      </c>
      <c r="G21" s="1">
        <f t="shared" si="3"/>
        <v>4711.9400000000005</v>
      </c>
      <c r="I21" s="3">
        <v>4873.71</v>
      </c>
      <c r="J21" s="3">
        <v>5151.16</v>
      </c>
    </row>
    <row r="22" spans="1:10">
      <c r="A22" t="s">
        <v>38</v>
      </c>
      <c r="C22" s="3">
        <v>228447.44</v>
      </c>
      <c r="D22" s="2" t="s">
        <v>52</v>
      </c>
      <c r="E22" s="3">
        <v>284306.3</v>
      </c>
      <c r="F22" t="s">
        <v>53</v>
      </c>
      <c r="G22" s="1">
        <f t="shared" si="3"/>
        <v>512753.74</v>
      </c>
      <c r="I22" s="3">
        <v>14040</v>
      </c>
      <c r="J22" s="3">
        <v>13160</v>
      </c>
    </row>
    <row r="23" spans="1:10">
      <c r="I23" s="2"/>
      <c r="J23" s="2"/>
    </row>
    <row r="24" spans="1:10">
      <c r="A24" t="s">
        <v>39</v>
      </c>
      <c r="C24" s="3">
        <f>SUM(C18:C23)</f>
        <v>813059.82000000007</v>
      </c>
      <c r="D24" s="3">
        <f t="shared" ref="D24:E24" si="4">SUM(D18:D23)</f>
        <v>0</v>
      </c>
      <c r="E24" s="3">
        <f t="shared" si="4"/>
        <v>1048925.43</v>
      </c>
      <c r="G24" s="1">
        <f t="shared" si="3"/>
        <v>1861985.25</v>
      </c>
      <c r="I24" s="3">
        <f>SUM(I18:I23)</f>
        <v>90613.02</v>
      </c>
      <c r="J24" s="3">
        <f>SUM(J18:J23)</f>
        <v>68652.66</v>
      </c>
    </row>
    <row r="25" spans="1:10">
      <c r="I25" s="2"/>
      <c r="J25" s="2"/>
    </row>
    <row r="26" spans="1:10">
      <c r="A26" t="s">
        <v>40</v>
      </c>
      <c r="C26" s="3">
        <f>C5-C6</f>
        <v>2125512.79</v>
      </c>
      <c r="D26" s="3">
        <f t="shared" ref="D26:E26" si="5">D5-D6</f>
        <v>0</v>
      </c>
      <c r="E26" s="3">
        <f t="shared" si="5"/>
        <v>2387765.3200000003</v>
      </c>
      <c r="F26" t="s">
        <v>54</v>
      </c>
      <c r="G26" s="1">
        <f t="shared" si="3"/>
        <v>4513278.1100000003</v>
      </c>
      <c r="I26" s="3">
        <f>I5-I6</f>
        <v>-30937.520000000004</v>
      </c>
      <c r="J26" s="3">
        <f>J5-J6</f>
        <v>-10999.930000000008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6"/>
  <sheetViews>
    <sheetView workbookViewId="0">
      <selection activeCell="A20" sqref="A20"/>
    </sheetView>
  </sheetViews>
  <sheetFormatPr defaultRowHeight="13.15"/>
  <cols>
    <col min="1" max="1" width="91.42578125" bestFit="1" customWidth="1"/>
    <col min="3" max="3" width="21.7109375" style="2" customWidth="1"/>
    <col min="4" max="4" width="22.85546875" style="2" hidden="1" customWidth="1"/>
    <col min="5" max="5" width="12.7109375" style="2" bestFit="1" customWidth="1"/>
    <col min="6" max="6" width="50.5703125" hidden="1" customWidth="1"/>
    <col min="7" max="7" width="13.42578125" customWidth="1"/>
    <col min="9" max="10" width="11.7109375" bestFit="1" customWidth="1"/>
  </cols>
  <sheetData>
    <row r="1" spans="1:10">
      <c r="A1" t="s">
        <v>0</v>
      </c>
      <c r="C1" s="7" t="s">
        <v>55</v>
      </c>
      <c r="D1" s="7"/>
      <c r="E1" s="7" t="s">
        <v>55</v>
      </c>
      <c r="F1" s="4"/>
      <c r="G1" s="7" t="s">
        <v>55</v>
      </c>
      <c r="H1" s="4"/>
      <c r="I1" s="7" t="s">
        <v>55</v>
      </c>
      <c r="J1" s="7" t="s">
        <v>55</v>
      </c>
    </row>
    <row r="3" spans="1:10" ht="39.6">
      <c r="A3" t="s">
        <v>23</v>
      </c>
      <c r="C3" s="6" t="s">
        <v>24</v>
      </c>
      <c r="D3" s="7"/>
      <c r="E3" s="6" t="s">
        <v>25</v>
      </c>
      <c r="F3" s="4"/>
      <c r="G3" s="5" t="s">
        <v>26</v>
      </c>
      <c r="I3" s="5" t="s">
        <v>27</v>
      </c>
      <c r="J3" s="5" t="s">
        <v>28</v>
      </c>
    </row>
    <row r="5" spans="1:10">
      <c r="A5" t="s">
        <v>29</v>
      </c>
      <c r="C5" s="3">
        <f>C14</f>
        <v>2651623.56</v>
      </c>
      <c r="D5" s="3">
        <f t="shared" ref="D5:E5" si="0">D14</f>
        <v>0</v>
      </c>
      <c r="E5" s="3">
        <f t="shared" si="0"/>
        <v>3497942.77</v>
      </c>
      <c r="G5" s="1">
        <f>C5+E5</f>
        <v>6149566.3300000001</v>
      </c>
      <c r="I5" s="3">
        <f>I14</f>
        <v>74095.89</v>
      </c>
      <c r="J5" s="3">
        <f>J14</f>
        <v>55507.11</v>
      </c>
    </row>
    <row r="6" spans="1:10">
      <c r="A6" t="s">
        <v>30</v>
      </c>
      <c r="C6" s="3">
        <f>C24</f>
        <v>800314.43999999983</v>
      </c>
      <c r="D6" s="3">
        <f t="shared" ref="D6:E6" si="1">D24</f>
        <v>0</v>
      </c>
      <c r="E6" s="3">
        <f t="shared" si="1"/>
        <v>1511652.4</v>
      </c>
      <c r="G6" s="1">
        <f>C6+E6</f>
        <v>2311966.84</v>
      </c>
      <c r="I6" s="3">
        <f>I24</f>
        <v>85817.239999999991</v>
      </c>
      <c r="J6" s="3">
        <f>J24</f>
        <v>64967.32</v>
      </c>
    </row>
    <row r="7" spans="1:10">
      <c r="I7" s="2"/>
      <c r="J7" s="2"/>
    </row>
    <row r="8" spans="1:10">
      <c r="A8" t="s">
        <v>8</v>
      </c>
      <c r="I8" s="2"/>
      <c r="J8" s="2"/>
    </row>
    <row r="9" spans="1:10">
      <c r="A9" t="s">
        <v>31</v>
      </c>
      <c r="C9" s="3">
        <v>1958208.48</v>
      </c>
      <c r="D9" s="2" t="s">
        <v>42</v>
      </c>
      <c r="E9" s="3">
        <v>3125756.87</v>
      </c>
      <c r="F9" t="s">
        <v>42</v>
      </c>
      <c r="G9" s="1">
        <f>C9+E9</f>
        <v>5083965.3499999996</v>
      </c>
      <c r="I9" s="3">
        <v>0</v>
      </c>
      <c r="J9" s="3">
        <v>0</v>
      </c>
    </row>
    <row r="10" spans="1:10">
      <c r="A10" t="s">
        <v>32</v>
      </c>
      <c r="C10" s="3">
        <f>66540+52687.5+13545.5</f>
        <v>132773</v>
      </c>
      <c r="D10" s="2" t="s">
        <v>43</v>
      </c>
      <c r="E10" s="3">
        <f>165371.71+5640+3067.33</f>
        <v>174079.03999999998</v>
      </c>
      <c r="F10" t="s">
        <v>44</v>
      </c>
      <c r="G10" s="1">
        <f>C10+E10</f>
        <v>306852.03999999998</v>
      </c>
      <c r="I10" s="3">
        <v>0</v>
      </c>
      <c r="J10" s="3">
        <v>0</v>
      </c>
    </row>
    <row r="11" spans="1:10">
      <c r="A11" t="s">
        <v>33</v>
      </c>
      <c r="C11" s="3">
        <f>60422.47+2656</f>
        <v>63078.47</v>
      </c>
      <c r="D11" s="2" t="s">
        <v>45</v>
      </c>
      <c r="E11" s="3">
        <f>2519.68+2519.33+18233.87+1863.28+1543.09+4890+1550+44746.38+13260+1360+400</f>
        <v>92885.63</v>
      </c>
      <c r="F11" t="s">
        <v>46</v>
      </c>
      <c r="G11" s="1">
        <f>C11+E11</f>
        <v>155964.1</v>
      </c>
      <c r="I11" s="3">
        <v>0</v>
      </c>
      <c r="J11" s="3">
        <v>0</v>
      </c>
    </row>
    <row r="12" spans="1:10">
      <c r="A12" t="s">
        <v>34</v>
      </c>
      <c r="C12" s="3">
        <v>497563.61</v>
      </c>
      <c r="D12" s="2" t="s">
        <v>47</v>
      </c>
      <c r="E12" s="3">
        <v>105221.23</v>
      </c>
      <c r="F12" t="s">
        <v>47</v>
      </c>
      <c r="G12" s="1">
        <f>C12+E12</f>
        <v>602784.84</v>
      </c>
      <c r="I12" s="3">
        <f>45656.12+28439.77</f>
        <v>74095.89</v>
      </c>
      <c r="J12" s="3">
        <f>37243.29+18263.82</f>
        <v>55507.11</v>
      </c>
    </row>
    <row r="13" spans="1:10">
      <c r="I13" s="2"/>
      <c r="J13" s="2"/>
    </row>
    <row r="14" spans="1:10">
      <c r="A14" t="s">
        <v>35</v>
      </c>
      <c r="C14" s="3">
        <f>SUM(C9:C13)</f>
        <v>2651623.56</v>
      </c>
      <c r="D14" s="3">
        <f t="shared" ref="D14:E14" si="2">SUM(D9:D13)</f>
        <v>0</v>
      </c>
      <c r="E14" s="3">
        <f t="shared" si="2"/>
        <v>3497942.77</v>
      </c>
      <c r="G14" s="1">
        <f>C14+E14</f>
        <v>6149566.3300000001</v>
      </c>
      <c r="I14" s="3">
        <f>SUM(I9:I13)</f>
        <v>74095.89</v>
      </c>
      <c r="J14" s="3">
        <f>SUM(J9:J13)</f>
        <v>55507.11</v>
      </c>
    </row>
    <row r="15" spans="1:10">
      <c r="I15" s="2"/>
      <c r="J15" s="2"/>
    </row>
    <row r="16" spans="1:10">
      <c r="I16" s="2"/>
      <c r="J16" s="2"/>
    </row>
    <row r="17" spans="1:10">
      <c r="A17" t="s">
        <v>14</v>
      </c>
      <c r="I17" s="2"/>
      <c r="J17" s="2"/>
    </row>
    <row r="18" spans="1:10">
      <c r="A18" t="s">
        <v>36</v>
      </c>
      <c r="C18" s="3">
        <v>498096.16</v>
      </c>
      <c r="D18" s="2" t="s">
        <v>48</v>
      </c>
      <c r="E18" s="3">
        <v>294198.2</v>
      </c>
      <c r="G18" s="1">
        <f>C18+E18</f>
        <v>792294.36</v>
      </c>
      <c r="I18" s="3">
        <v>65207.199999999997</v>
      </c>
      <c r="J18" s="3">
        <v>45444.17</v>
      </c>
    </row>
    <row r="19" spans="1:10">
      <c r="A19" t="s">
        <v>16</v>
      </c>
      <c r="C19" s="3">
        <v>2538.91</v>
      </c>
      <c r="D19" s="2" t="s">
        <v>49</v>
      </c>
      <c r="E19" s="3">
        <v>396440.99</v>
      </c>
      <c r="G19" s="1">
        <f t="shared" ref="G19:G26" si="3">C19+E19</f>
        <v>398979.89999999997</v>
      </c>
      <c r="I19" s="3">
        <v>12.2</v>
      </c>
      <c r="J19" s="3">
        <v>7.79</v>
      </c>
    </row>
    <row r="20" spans="1:10">
      <c r="A20" t="s">
        <v>37</v>
      </c>
      <c r="C20" s="3">
        <f>2726621.09-2651623.56</f>
        <v>74997.529999999795</v>
      </c>
      <c r="D20" s="2" t="s">
        <v>50</v>
      </c>
      <c r="E20" s="3">
        <v>33954.74</v>
      </c>
      <c r="G20" s="1">
        <f t="shared" si="3"/>
        <v>108952.26999999979</v>
      </c>
      <c r="I20" s="3">
        <f>76726.98-45656.12-28439.77</f>
        <v>2631.0899999999929</v>
      </c>
      <c r="J20" s="3">
        <f>57982.83-37243.29-18263.82</f>
        <v>2475.7200000000012</v>
      </c>
    </row>
    <row r="21" spans="1:10">
      <c r="A21" t="s">
        <v>18</v>
      </c>
      <c r="C21" s="3">
        <v>3160.56</v>
      </c>
      <c r="D21" s="2" t="s">
        <v>51</v>
      </c>
      <c r="E21" s="3">
        <v>2199.33</v>
      </c>
      <c r="G21" s="1">
        <f t="shared" si="3"/>
        <v>5359.8899999999994</v>
      </c>
      <c r="I21" s="3">
        <v>4277.97</v>
      </c>
      <c r="J21" s="3">
        <v>4277.03</v>
      </c>
    </row>
    <row r="22" spans="1:10">
      <c r="A22" t="s">
        <v>38</v>
      </c>
      <c r="C22" s="3">
        <v>221521.28</v>
      </c>
      <c r="D22" s="2" t="s">
        <v>52</v>
      </c>
      <c r="E22" s="3">
        <f>750006.76+34852.38</f>
        <v>784859.14</v>
      </c>
      <c r="F22" t="s">
        <v>53</v>
      </c>
      <c r="G22" s="1">
        <f t="shared" si="3"/>
        <v>1006380.42</v>
      </c>
      <c r="I22" s="3">
        <v>13688.78</v>
      </c>
      <c r="J22" s="3">
        <v>12762.61</v>
      </c>
    </row>
    <row r="23" spans="1:10">
      <c r="I23" s="2"/>
      <c r="J23" s="2"/>
    </row>
    <row r="24" spans="1:10">
      <c r="A24" t="s">
        <v>39</v>
      </c>
      <c r="C24" s="3">
        <f>SUM(C18:C23)</f>
        <v>800314.43999999983</v>
      </c>
      <c r="D24" s="3">
        <f t="shared" ref="D24:E24" si="4">SUM(D18:D23)</f>
        <v>0</v>
      </c>
      <c r="E24" s="3">
        <f t="shared" si="4"/>
        <v>1511652.4</v>
      </c>
      <c r="G24" s="1">
        <f t="shared" si="3"/>
        <v>2311966.84</v>
      </c>
      <c r="I24" s="3">
        <f>SUM(I18:I23)</f>
        <v>85817.239999999991</v>
      </c>
      <c r="J24" s="3">
        <f>SUM(J18:J23)</f>
        <v>64967.32</v>
      </c>
    </row>
    <row r="25" spans="1:10">
      <c r="I25" s="2"/>
      <c r="J25" s="2"/>
    </row>
    <row r="26" spans="1:10">
      <c r="A26" t="s">
        <v>40</v>
      </c>
      <c r="C26" s="3">
        <f>C5-C6</f>
        <v>1851309.12</v>
      </c>
      <c r="D26" s="3">
        <f t="shared" ref="D26:E26" si="5">D5-D6</f>
        <v>0</v>
      </c>
      <c r="E26" s="3">
        <f t="shared" si="5"/>
        <v>1986290.37</v>
      </c>
      <c r="F26" t="s">
        <v>54</v>
      </c>
      <c r="G26" s="1">
        <f t="shared" si="3"/>
        <v>3837599.49</v>
      </c>
      <c r="I26" s="3">
        <f>I5-I6</f>
        <v>-11721.349999999991</v>
      </c>
      <c r="J26" s="3">
        <f>J5-J6</f>
        <v>-9460.2099999999991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6"/>
  <sheetViews>
    <sheetView workbookViewId="0">
      <selection activeCell="G5" sqref="G5:G7"/>
    </sheetView>
  </sheetViews>
  <sheetFormatPr defaultRowHeight="13.15"/>
  <cols>
    <col min="1" max="1" width="91.42578125" bestFit="1" customWidth="1"/>
    <col min="3" max="3" width="21.7109375" style="2" customWidth="1"/>
    <col min="4" max="4" width="22.85546875" style="2" hidden="1" customWidth="1"/>
    <col min="5" max="5" width="12.7109375" style="2" bestFit="1" customWidth="1"/>
    <col min="6" max="6" width="50.5703125" hidden="1" customWidth="1"/>
    <col min="7" max="7" width="13.42578125" customWidth="1"/>
    <col min="9" max="9" width="10.7109375" bestFit="1" customWidth="1"/>
    <col min="10" max="10" width="11.7109375" bestFit="1" customWidth="1"/>
  </cols>
  <sheetData>
    <row r="1" spans="1:10">
      <c r="A1" t="s">
        <v>0</v>
      </c>
      <c r="C1" s="7" t="s">
        <v>56</v>
      </c>
      <c r="D1" s="7"/>
      <c r="E1" s="7" t="s">
        <v>56</v>
      </c>
      <c r="F1" s="4"/>
      <c r="G1" s="7" t="s">
        <v>56</v>
      </c>
      <c r="H1" s="4"/>
      <c r="I1" s="7" t="s">
        <v>56</v>
      </c>
      <c r="J1" s="7" t="s">
        <v>56</v>
      </c>
    </row>
    <row r="3" spans="1:10" ht="39.6">
      <c r="A3" t="s">
        <v>23</v>
      </c>
      <c r="C3" s="6" t="s">
        <v>24</v>
      </c>
      <c r="D3" s="7"/>
      <c r="E3" s="6" t="s">
        <v>25</v>
      </c>
      <c r="F3" s="4"/>
      <c r="G3" s="5" t="s">
        <v>26</v>
      </c>
      <c r="I3" s="5" t="s">
        <v>27</v>
      </c>
      <c r="J3" s="5" t="s">
        <v>28</v>
      </c>
    </row>
    <row r="5" spans="1:10">
      <c r="A5" t="s">
        <v>29</v>
      </c>
      <c r="C5" s="3">
        <f>C14</f>
        <v>2479289.5599999996</v>
      </c>
      <c r="D5" s="3">
        <f t="shared" ref="D5:E5" si="0">D14</f>
        <v>0</v>
      </c>
      <c r="E5" s="3">
        <f t="shared" si="0"/>
        <v>3289536.04</v>
      </c>
      <c r="G5" s="1">
        <f>C5+E5</f>
        <v>5768825.5999999996</v>
      </c>
      <c r="I5" s="3">
        <f>I14</f>
        <v>57539.62</v>
      </c>
      <c r="J5" s="3">
        <f>J14</f>
        <v>48478.07</v>
      </c>
    </row>
    <row r="6" spans="1:10">
      <c r="A6" t="s">
        <v>30</v>
      </c>
      <c r="C6" s="3">
        <f>C24</f>
        <v>753812.38999999966</v>
      </c>
      <c r="D6" s="3">
        <f t="shared" ref="D6:E6" si="1">D24</f>
        <v>0</v>
      </c>
      <c r="E6" s="3">
        <f t="shared" si="1"/>
        <v>1439343.67</v>
      </c>
      <c r="G6" s="1">
        <f>C6+E6</f>
        <v>2193156.0599999996</v>
      </c>
      <c r="I6" s="3">
        <f>I24</f>
        <v>76435.929999999993</v>
      </c>
      <c r="J6" s="3">
        <f>J24</f>
        <v>64579.220000000008</v>
      </c>
    </row>
    <row r="7" spans="1:10">
      <c r="I7" s="2"/>
      <c r="J7" s="2"/>
    </row>
    <row r="8" spans="1:10">
      <c r="A8" t="s">
        <v>8</v>
      </c>
      <c r="I8" s="2"/>
      <c r="J8" s="2"/>
    </row>
    <row r="9" spans="1:10">
      <c r="A9" t="s">
        <v>31</v>
      </c>
      <c r="C9" s="3">
        <v>1779440.25</v>
      </c>
      <c r="D9" s="2" t="s">
        <v>42</v>
      </c>
      <c r="E9" s="3">
        <v>2920303.36</v>
      </c>
      <c r="F9" t="s">
        <v>42</v>
      </c>
      <c r="G9" s="1">
        <f>C9+E9</f>
        <v>4699743.6099999994</v>
      </c>
      <c r="I9" s="3">
        <v>0</v>
      </c>
      <c r="J9" s="3">
        <v>0</v>
      </c>
    </row>
    <row r="10" spans="1:10">
      <c r="A10" t="s">
        <v>32</v>
      </c>
      <c r="C10" s="3">
        <f>49466+50205.89+13356.5</f>
        <v>113028.39</v>
      </c>
      <c r="D10" s="2" t="s">
        <v>43</v>
      </c>
      <c r="E10" s="3">
        <f>143355.55+5530+2915.33</f>
        <v>151800.87999999998</v>
      </c>
      <c r="F10" t="s">
        <v>44</v>
      </c>
      <c r="G10" s="1">
        <f>C10+E10</f>
        <v>264829.26999999996</v>
      </c>
      <c r="I10" s="3">
        <v>0</v>
      </c>
      <c r="J10" s="3">
        <v>0</v>
      </c>
    </row>
    <row r="11" spans="1:10">
      <c r="A11" t="s">
        <v>33</v>
      </c>
      <c r="C11" s="3">
        <f>61529.3+6150.1</f>
        <v>67679.400000000009</v>
      </c>
      <c r="D11" s="2" t="s">
        <v>45</v>
      </c>
      <c r="E11" s="3">
        <f>2439.13+2931.23+18300.23+9741.16+845.04+7025+1382+47596.56+550</f>
        <v>90810.35</v>
      </c>
      <c r="F11" t="s">
        <v>46</v>
      </c>
      <c r="G11" s="1">
        <f>C11+E11</f>
        <v>158489.75</v>
      </c>
      <c r="I11" s="3">
        <v>0</v>
      </c>
      <c r="J11" s="3">
        <v>0</v>
      </c>
    </row>
    <row r="12" spans="1:10">
      <c r="A12" t="s">
        <v>34</v>
      </c>
      <c r="C12" s="3">
        <v>519141.52</v>
      </c>
      <c r="D12" s="2" t="s">
        <v>47</v>
      </c>
      <c r="E12" s="3">
        <v>126621.45</v>
      </c>
      <c r="F12" t="s">
        <v>47</v>
      </c>
      <c r="G12" s="1">
        <f>C12+E12</f>
        <v>645762.97</v>
      </c>
      <c r="I12" s="3">
        <f>26514.31+31025.31</f>
        <v>57539.62</v>
      </c>
      <c r="J12" s="3">
        <f>29295.44+19182.63</f>
        <v>48478.07</v>
      </c>
    </row>
    <row r="13" spans="1:10">
      <c r="I13" s="2"/>
      <c r="J13" s="2"/>
    </row>
    <row r="14" spans="1:10">
      <c r="A14" t="s">
        <v>35</v>
      </c>
      <c r="C14" s="3">
        <f>SUM(C9:C13)</f>
        <v>2479289.5599999996</v>
      </c>
      <c r="D14" s="3">
        <f t="shared" ref="D14:E14" si="2">SUM(D9:D13)</f>
        <v>0</v>
      </c>
      <c r="E14" s="3">
        <f t="shared" si="2"/>
        <v>3289536.04</v>
      </c>
      <c r="G14" s="1">
        <f>C14+E14</f>
        <v>5768825.5999999996</v>
      </c>
      <c r="I14" s="3">
        <f>SUM(I9:I13)</f>
        <v>57539.62</v>
      </c>
      <c r="J14" s="3">
        <f>SUM(J9:J13)</f>
        <v>48478.07</v>
      </c>
    </row>
    <row r="15" spans="1:10">
      <c r="I15" s="2"/>
      <c r="J15" s="2"/>
    </row>
    <row r="16" spans="1:10">
      <c r="I16" s="2"/>
      <c r="J16" s="2"/>
    </row>
    <row r="17" spans="1:10">
      <c r="A17" t="s">
        <v>14</v>
      </c>
      <c r="I17" s="2"/>
      <c r="J17" s="2"/>
    </row>
    <row r="18" spans="1:10">
      <c r="A18" t="s">
        <v>36</v>
      </c>
      <c r="C18" s="3">
        <v>485124.43</v>
      </c>
      <c r="D18" s="2" t="s">
        <v>48</v>
      </c>
      <c r="E18" s="3">
        <v>285533.45</v>
      </c>
      <c r="G18" s="1">
        <f>C18+E18</f>
        <v>770657.88</v>
      </c>
      <c r="I18" s="3">
        <v>54386.2</v>
      </c>
      <c r="J18" s="3">
        <v>44397.15</v>
      </c>
    </row>
    <row r="19" spans="1:10">
      <c r="A19" t="s">
        <v>16</v>
      </c>
      <c r="C19" s="3">
        <v>774.51</v>
      </c>
      <c r="D19" s="2" t="s">
        <v>49</v>
      </c>
      <c r="E19" s="3">
        <v>298652.2</v>
      </c>
      <c r="G19" s="1">
        <f t="shared" ref="G19:G26" si="3">C19+E19</f>
        <v>299426.71000000002</v>
      </c>
      <c r="I19" s="3">
        <v>0</v>
      </c>
      <c r="J19" s="3">
        <v>0</v>
      </c>
    </row>
    <row r="20" spans="1:10">
      <c r="A20" t="s">
        <v>37</v>
      </c>
      <c r="C20" s="3">
        <f>2524721.53-2479289.56</f>
        <v>45431.969999999739</v>
      </c>
      <c r="D20" s="2" t="s">
        <v>50</v>
      </c>
      <c r="E20" s="3">
        <v>25807.9</v>
      </c>
      <c r="G20" s="1">
        <f t="shared" si="3"/>
        <v>71239.869999999733</v>
      </c>
      <c r="I20" s="3">
        <f>61904.03-26514.31-31025.31</f>
        <v>4364.41</v>
      </c>
      <c r="J20" s="3">
        <f>52098-29409.17-19268.43</f>
        <v>3420.4000000000015</v>
      </c>
    </row>
    <row r="21" spans="1:10">
      <c r="A21" t="s">
        <v>18</v>
      </c>
      <c r="C21" s="3">
        <v>2961.67</v>
      </c>
      <c r="D21" s="2" t="s">
        <v>51</v>
      </c>
      <c r="E21" s="3">
        <v>2187.5500000000002</v>
      </c>
      <c r="G21" s="1">
        <f t="shared" si="3"/>
        <v>5149.22</v>
      </c>
      <c r="I21" s="3">
        <v>4431.84</v>
      </c>
      <c r="J21" s="3">
        <v>4429.66</v>
      </c>
    </row>
    <row r="22" spans="1:10">
      <c r="A22" t="s">
        <v>38</v>
      </c>
      <c r="C22" s="3">
        <v>219519.81</v>
      </c>
      <c r="D22" s="2" t="s">
        <v>52</v>
      </c>
      <c r="E22" s="3">
        <v>827162.57</v>
      </c>
      <c r="F22" t="s">
        <v>53</v>
      </c>
      <c r="G22" s="1">
        <f t="shared" si="3"/>
        <v>1046682.3799999999</v>
      </c>
      <c r="I22" s="3">
        <v>13253.48</v>
      </c>
      <c r="J22" s="3">
        <v>12332.01</v>
      </c>
    </row>
    <row r="23" spans="1:10">
      <c r="I23" s="2"/>
      <c r="J23" s="2"/>
    </row>
    <row r="24" spans="1:10">
      <c r="A24" t="s">
        <v>39</v>
      </c>
      <c r="C24" s="3">
        <f>SUM(C18:C23)</f>
        <v>753812.38999999966</v>
      </c>
      <c r="D24" s="3">
        <f t="shared" ref="D24:E24" si="4">SUM(D18:D23)</f>
        <v>0</v>
      </c>
      <c r="E24" s="3">
        <f t="shared" si="4"/>
        <v>1439343.67</v>
      </c>
      <c r="G24" s="1">
        <f t="shared" si="3"/>
        <v>2193156.0599999996</v>
      </c>
      <c r="I24" s="3">
        <f>SUM(I18:I23)</f>
        <v>76435.929999999993</v>
      </c>
      <c r="J24" s="3">
        <f>SUM(J18:J23)</f>
        <v>64579.220000000008</v>
      </c>
    </row>
    <row r="25" spans="1:10">
      <c r="I25" s="2"/>
      <c r="J25" s="2"/>
    </row>
    <row r="26" spans="1:10">
      <c r="A26" t="s">
        <v>40</v>
      </c>
      <c r="C26" s="3">
        <f>C5-C6</f>
        <v>1725477.17</v>
      </c>
      <c r="D26" s="3">
        <f t="shared" ref="D26:E26" si="5">D5-D6</f>
        <v>0</v>
      </c>
      <c r="E26" s="3">
        <f t="shared" si="5"/>
        <v>1850192.37</v>
      </c>
      <c r="F26" t="s">
        <v>54</v>
      </c>
      <c r="G26" s="1">
        <f t="shared" si="3"/>
        <v>3575669.54</v>
      </c>
      <c r="I26" s="3">
        <f>I5-I6</f>
        <v>-18896.30999999999</v>
      </c>
      <c r="J26" s="3">
        <f>J5-J6</f>
        <v>-16101.150000000009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6"/>
  <sheetViews>
    <sheetView workbookViewId="0">
      <selection activeCell="G5" sqref="G5:G7"/>
    </sheetView>
  </sheetViews>
  <sheetFormatPr defaultRowHeight="13.15"/>
  <cols>
    <col min="1" max="1" width="91.42578125" bestFit="1" customWidth="1"/>
    <col min="3" max="3" width="21.7109375" style="2" customWidth="1"/>
    <col min="4" max="4" width="22.85546875" style="2" hidden="1" customWidth="1"/>
    <col min="5" max="5" width="12.7109375" style="2" bestFit="1" customWidth="1"/>
    <col min="6" max="6" width="50.5703125" hidden="1" customWidth="1"/>
    <col min="7" max="7" width="13.42578125" customWidth="1"/>
    <col min="9" max="9" width="10.7109375" bestFit="1" customWidth="1"/>
    <col min="10" max="10" width="11.7109375" bestFit="1" customWidth="1"/>
  </cols>
  <sheetData>
    <row r="1" spans="1:10">
      <c r="A1" t="s">
        <v>0</v>
      </c>
      <c r="C1" s="7" t="s">
        <v>57</v>
      </c>
      <c r="D1" s="7"/>
      <c r="E1" s="7" t="s">
        <v>57</v>
      </c>
      <c r="F1" s="4"/>
      <c r="G1" s="7" t="s">
        <v>57</v>
      </c>
      <c r="H1" s="4"/>
      <c r="I1" s="7" t="s">
        <v>57</v>
      </c>
      <c r="J1" s="7" t="s">
        <v>57</v>
      </c>
    </row>
    <row r="3" spans="1:10" ht="39.6">
      <c r="A3" t="s">
        <v>23</v>
      </c>
      <c r="C3" s="6" t="s">
        <v>24</v>
      </c>
      <c r="D3" s="7"/>
      <c r="E3" s="6" t="s">
        <v>25</v>
      </c>
      <c r="F3" s="4"/>
      <c r="G3" s="5" t="s">
        <v>26</v>
      </c>
      <c r="I3" s="5" t="s">
        <v>27</v>
      </c>
      <c r="J3" s="5" t="s">
        <v>28</v>
      </c>
    </row>
    <row r="5" spans="1:10">
      <c r="A5" t="s">
        <v>29</v>
      </c>
      <c r="C5" s="3">
        <f>C14</f>
        <v>2495033.9</v>
      </c>
      <c r="D5" s="3">
        <f t="shared" ref="D5:E5" si="0">D14</f>
        <v>0</v>
      </c>
      <c r="E5" s="3">
        <f t="shared" si="0"/>
        <v>3310479.6299999994</v>
      </c>
      <c r="G5" s="1">
        <f>C5+E5</f>
        <v>5805513.5299999993</v>
      </c>
      <c r="I5" s="3">
        <f>I14</f>
        <v>61735.96</v>
      </c>
      <c r="J5" s="3">
        <f>J14</f>
        <v>43988.270000000004</v>
      </c>
    </row>
    <row r="6" spans="1:10">
      <c r="A6" t="s">
        <v>30</v>
      </c>
      <c r="C6" s="3">
        <f>C24</f>
        <v>808128.44000000006</v>
      </c>
      <c r="D6" s="3">
        <f t="shared" ref="D6:E6" si="1">D24</f>
        <v>0</v>
      </c>
      <c r="E6" s="3">
        <f t="shared" si="1"/>
        <v>1496609.56</v>
      </c>
      <c r="G6" s="1">
        <f>C6+E6</f>
        <v>2304738</v>
      </c>
      <c r="I6" s="3">
        <f>I24</f>
        <v>70941.13</v>
      </c>
      <c r="J6" s="3">
        <f>J24</f>
        <v>60967.3</v>
      </c>
    </row>
    <row r="7" spans="1:10">
      <c r="I7" s="2"/>
      <c r="J7" s="2"/>
    </row>
    <row r="8" spans="1:10">
      <c r="A8" t="s">
        <v>8</v>
      </c>
      <c r="I8" s="2"/>
      <c r="J8" s="2"/>
    </row>
    <row r="9" spans="1:10">
      <c r="A9" t="s">
        <v>31</v>
      </c>
      <c r="C9" s="3">
        <v>1756052.9</v>
      </c>
      <c r="D9" s="2" t="s">
        <v>42</v>
      </c>
      <c r="E9" s="3">
        <v>2882314.8</v>
      </c>
      <c r="F9" t="s">
        <v>42</v>
      </c>
      <c r="G9" s="1">
        <f>C9+E9</f>
        <v>4638367.6999999993</v>
      </c>
      <c r="I9" s="3">
        <v>0</v>
      </c>
      <c r="J9" s="3">
        <v>0</v>
      </c>
    </row>
    <row r="10" spans="1:10">
      <c r="A10" t="s">
        <v>32</v>
      </c>
      <c r="C10" s="3">
        <f>61311.5+56625.5+14907.5</f>
        <v>132844.5</v>
      </c>
      <c r="D10" s="2" t="s">
        <v>43</v>
      </c>
      <c r="E10" s="3">
        <f>131222.51+6029.99+2665</f>
        <v>139917.5</v>
      </c>
      <c r="F10" t="s">
        <v>44</v>
      </c>
      <c r="G10" s="1">
        <f>C10+E10</f>
        <v>272762</v>
      </c>
      <c r="I10" s="3">
        <v>0</v>
      </c>
      <c r="J10" s="3">
        <v>0</v>
      </c>
    </row>
    <row r="11" spans="1:10">
      <c r="A11" t="s">
        <v>33</v>
      </c>
      <c r="C11" s="3">
        <f>54926.04+4832.06</f>
        <v>59758.1</v>
      </c>
      <c r="D11" s="2" t="s">
        <v>45</v>
      </c>
      <c r="E11" s="3">
        <f>15141+3794+44215.84+230+7025+2778.41+3879.17+60185.34+42000.36-9887.57</f>
        <v>169361.55</v>
      </c>
      <c r="F11" t="s">
        <v>46</v>
      </c>
      <c r="G11" s="1">
        <f>C11+E11</f>
        <v>229119.65</v>
      </c>
      <c r="I11" s="3">
        <v>0</v>
      </c>
      <c r="J11" s="3">
        <v>0</v>
      </c>
    </row>
    <row r="12" spans="1:10">
      <c r="A12" t="s">
        <v>34</v>
      </c>
      <c r="C12" s="3">
        <v>546378.4</v>
      </c>
      <c r="D12" s="2" t="s">
        <v>47</v>
      </c>
      <c r="E12" s="3">
        <v>118885.78</v>
      </c>
      <c r="F12" t="s">
        <v>47</v>
      </c>
      <c r="G12" s="1">
        <f>C12+E12</f>
        <v>665264.18000000005</v>
      </c>
      <c r="I12" s="3">
        <f>33181.06+28554.9</f>
        <v>61735.96</v>
      </c>
      <c r="J12" s="3">
        <f>26256+17732.27</f>
        <v>43988.270000000004</v>
      </c>
    </row>
    <row r="13" spans="1:10">
      <c r="I13" s="2"/>
      <c r="J13" s="2"/>
    </row>
    <row r="14" spans="1:10">
      <c r="A14" t="s">
        <v>35</v>
      </c>
      <c r="C14" s="3">
        <f>SUM(C9:C13)</f>
        <v>2495033.9</v>
      </c>
      <c r="D14" s="3">
        <f t="shared" ref="D14:E14" si="2">SUM(D9:D13)</f>
        <v>0</v>
      </c>
      <c r="E14" s="3">
        <f t="shared" si="2"/>
        <v>3310479.6299999994</v>
      </c>
      <c r="G14" s="1">
        <f>C14+E14</f>
        <v>5805513.5299999993</v>
      </c>
      <c r="I14" s="3">
        <f>SUM(I9:I13)</f>
        <v>61735.96</v>
      </c>
      <c r="J14" s="3">
        <f>SUM(J9:J13)</f>
        <v>43988.270000000004</v>
      </c>
    </row>
    <row r="15" spans="1:10">
      <c r="I15" s="2"/>
      <c r="J15" s="2"/>
    </row>
    <row r="16" spans="1:10">
      <c r="I16" s="2"/>
      <c r="J16" s="2"/>
    </row>
    <row r="17" spans="1:10">
      <c r="A17" t="s">
        <v>14</v>
      </c>
      <c r="I17" s="2"/>
      <c r="J17" s="2"/>
    </row>
    <row r="18" spans="1:10">
      <c r="A18" t="s">
        <v>36</v>
      </c>
      <c r="C18" s="3">
        <v>480697.26</v>
      </c>
      <c r="D18" s="2" t="s">
        <v>48</v>
      </c>
      <c r="E18" s="3">
        <v>290436.56</v>
      </c>
      <c r="G18" s="1">
        <f>C18+E18</f>
        <v>771133.82000000007</v>
      </c>
      <c r="I18" s="3">
        <v>48360</v>
      </c>
      <c r="J18" s="3">
        <v>40241.01</v>
      </c>
    </row>
    <row r="19" spans="1:10">
      <c r="A19" t="s">
        <v>16</v>
      </c>
      <c r="C19" s="3">
        <v>3195.48</v>
      </c>
      <c r="D19" s="2" t="s">
        <v>49</v>
      </c>
      <c r="E19" s="3">
        <v>367416.02</v>
      </c>
      <c r="G19" s="1">
        <f t="shared" ref="G19:G26" si="3">C19+E19</f>
        <v>370611.5</v>
      </c>
      <c r="I19" s="3">
        <v>0</v>
      </c>
      <c r="J19" s="3">
        <v>0</v>
      </c>
    </row>
    <row r="20" spans="1:10">
      <c r="A20" t="s">
        <v>37</v>
      </c>
      <c r="C20" s="3">
        <f>2560147.67-2495033.9</f>
        <v>65113.770000000019</v>
      </c>
      <c r="D20" s="2" t="s">
        <v>50</v>
      </c>
      <c r="E20" s="3">
        <v>19483.990000000002</v>
      </c>
      <c r="G20" s="1">
        <f t="shared" si="3"/>
        <v>84597.760000000024</v>
      </c>
      <c r="I20" s="3">
        <f>66571.59-33181.06-28554.9</f>
        <v>4835.6299999999974</v>
      </c>
      <c r="J20" s="3">
        <f>47850.09-26256-17732.27</f>
        <v>3861.8199999999961</v>
      </c>
    </row>
    <row r="21" spans="1:10">
      <c r="A21" t="s">
        <v>18</v>
      </c>
      <c r="C21" s="3">
        <v>3224.76</v>
      </c>
      <c r="D21" s="2" t="s">
        <v>51</v>
      </c>
      <c r="E21" s="3">
        <v>2489.19</v>
      </c>
      <c r="G21" s="1">
        <f t="shared" si="3"/>
        <v>5713.9500000000007</v>
      </c>
      <c r="I21" s="3">
        <v>4313.07</v>
      </c>
      <c r="J21" s="3">
        <v>4298.8</v>
      </c>
    </row>
    <row r="22" spans="1:10">
      <c r="A22" t="s">
        <v>38</v>
      </c>
      <c r="C22" s="3">
        <v>255897.17</v>
      </c>
      <c r="D22" s="2" t="s">
        <v>52</v>
      </c>
      <c r="E22" s="3">
        <v>816783.8</v>
      </c>
      <c r="F22" t="s">
        <v>53</v>
      </c>
      <c r="G22" s="1">
        <f t="shared" si="3"/>
        <v>1072680.97</v>
      </c>
      <c r="I22" s="3">
        <v>13432.43</v>
      </c>
      <c r="J22" s="3">
        <v>12565.67</v>
      </c>
    </row>
    <row r="23" spans="1:10">
      <c r="I23" s="2"/>
      <c r="J23" s="2"/>
    </row>
    <row r="24" spans="1:10">
      <c r="A24" t="s">
        <v>39</v>
      </c>
      <c r="C24" s="3">
        <f>SUM(C18:C23)</f>
        <v>808128.44000000006</v>
      </c>
      <c r="D24" s="3">
        <f t="shared" ref="D24:E24" si="4">SUM(D18:D23)</f>
        <v>0</v>
      </c>
      <c r="E24" s="3">
        <f t="shared" si="4"/>
        <v>1496609.56</v>
      </c>
      <c r="G24" s="1">
        <f t="shared" si="3"/>
        <v>2304738</v>
      </c>
      <c r="I24" s="3">
        <f>SUM(I18:I23)</f>
        <v>70941.13</v>
      </c>
      <c r="J24" s="3">
        <f>SUM(J18:J23)</f>
        <v>60967.3</v>
      </c>
    </row>
    <row r="25" spans="1:10">
      <c r="I25" s="2"/>
      <c r="J25" s="2"/>
    </row>
    <row r="26" spans="1:10">
      <c r="A26" t="s">
        <v>40</v>
      </c>
      <c r="C26" s="3">
        <f>C5-C6</f>
        <v>1686905.46</v>
      </c>
      <c r="D26" s="3">
        <f t="shared" ref="D26:E26" si="5">D5-D6</f>
        <v>0</v>
      </c>
      <c r="E26" s="3">
        <f t="shared" si="5"/>
        <v>1813870.0699999994</v>
      </c>
      <c r="F26" t="s">
        <v>54</v>
      </c>
      <c r="G26" s="1">
        <f t="shared" si="3"/>
        <v>3500775.5299999993</v>
      </c>
      <c r="I26" s="3">
        <f>I5-I6</f>
        <v>-9205.1700000000055</v>
      </c>
      <c r="J26" s="3">
        <f>J5-J6</f>
        <v>-16979.03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95"/>
  <sheetViews>
    <sheetView workbookViewId="0">
      <selection activeCell="A8" sqref="A8"/>
    </sheetView>
  </sheetViews>
  <sheetFormatPr defaultColWidth="9.140625" defaultRowHeight="13.15"/>
  <cols>
    <col min="1" max="1" width="91.42578125" style="2" bestFit="1" customWidth="1"/>
    <col min="2" max="3" width="12.7109375" style="2" bestFit="1" customWidth="1"/>
    <col min="4" max="4" width="15.140625" style="2" bestFit="1" customWidth="1"/>
    <col min="5" max="5" width="12.85546875" style="2" bestFit="1" customWidth="1"/>
    <col min="6" max="6" width="12.7109375" style="2" bestFit="1" customWidth="1"/>
    <col min="7" max="7" width="9.140625" style="2"/>
    <col min="8" max="8" width="21.5703125" style="2" customWidth="1"/>
    <col min="9" max="11" width="9.140625" style="2"/>
    <col min="12" max="12" width="12.7109375" style="2" bestFit="1" customWidth="1"/>
    <col min="13" max="16384" width="9.140625" style="2"/>
  </cols>
  <sheetData>
    <row r="1" spans="1:13">
      <c r="A1" s="2" t="s">
        <v>0</v>
      </c>
      <c r="B1" s="2" t="s">
        <v>58</v>
      </c>
      <c r="C1" s="2" t="s">
        <v>59</v>
      </c>
      <c r="D1" s="2" t="s">
        <v>60</v>
      </c>
      <c r="E1" s="2" t="s">
        <v>61</v>
      </c>
      <c r="F1" s="2" t="s">
        <v>62</v>
      </c>
      <c r="H1" s="2" t="s">
        <v>41</v>
      </c>
      <c r="L1" s="2" t="s">
        <v>41</v>
      </c>
    </row>
    <row r="2" spans="1:13">
      <c r="H2" s="2" t="s">
        <v>63</v>
      </c>
    </row>
    <row r="3" spans="1:13" ht="66">
      <c r="A3" s="2" t="s">
        <v>23</v>
      </c>
      <c r="H3" s="18" t="s">
        <v>64</v>
      </c>
      <c r="L3" s="18" t="s">
        <v>65</v>
      </c>
    </row>
    <row r="5" spans="1:13">
      <c r="A5" s="2" t="s">
        <v>29</v>
      </c>
      <c r="B5" s="3">
        <v>2483965.61</v>
      </c>
      <c r="C5" s="3">
        <v>2357100.56</v>
      </c>
      <c r="D5" s="3">
        <v>2320789.19</v>
      </c>
      <c r="E5" s="3">
        <v>2182889.48</v>
      </c>
      <c r="F5" s="3">
        <v>2196089.92</v>
      </c>
      <c r="H5" s="3">
        <v>2938572.61</v>
      </c>
      <c r="L5" s="3">
        <v>3436690.75</v>
      </c>
    </row>
    <row r="6" spans="1:13">
      <c r="A6" s="2" t="s">
        <v>30</v>
      </c>
      <c r="B6" s="3">
        <v>798912.08</v>
      </c>
      <c r="C6" s="3">
        <v>871488.79</v>
      </c>
      <c r="D6" s="3">
        <v>913102.23</v>
      </c>
      <c r="E6" s="3">
        <v>922436.15</v>
      </c>
      <c r="F6" s="3">
        <v>1026007.4</v>
      </c>
      <c r="H6" s="3">
        <v>813059.82</v>
      </c>
      <c r="L6" s="3">
        <v>1048925.43</v>
      </c>
    </row>
    <row r="8" spans="1:13">
      <c r="A8" s="2" t="s">
        <v>8</v>
      </c>
    </row>
    <row r="9" spans="1:13">
      <c r="A9" s="2" t="s">
        <v>31</v>
      </c>
      <c r="B9" s="3">
        <v>1792627.9</v>
      </c>
      <c r="C9" s="3">
        <v>1787365.05</v>
      </c>
      <c r="D9" s="3">
        <v>1764643.08</v>
      </c>
      <c r="E9" s="3">
        <v>1647462.45</v>
      </c>
      <c r="F9" s="3">
        <v>1644145.45</v>
      </c>
      <c r="H9" s="3">
        <v>2245939.5099999998</v>
      </c>
      <c r="I9" s="2" t="s">
        <v>42</v>
      </c>
      <c r="L9" s="3">
        <v>3063345.19</v>
      </c>
      <c r="M9" s="2" t="s">
        <v>42</v>
      </c>
    </row>
    <row r="10" spans="1:13">
      <c r="A10" s="2" t="s">
        <v>32</v>
      </c>
      <c r="B10" s="3">
        <v>91270.93</v>
      </c>
      <c r="C10" s="3">
        <v>104545.54</v>
      </c>
      <c r="D10" s="3">
        <v>121825.19</v>
      </c>
      <c r="E10" s="3">
        <v>114859.19</v>
      </c>
      <c r="F10" s="3">
        <v>59369.440000000002</v>
      </c>
      <c r="H10" s="3">
        <v>125118</v>
      </c>
      <c r="I10" s="2" t="s">
        <v>43</v>
      </c>
      <c r="L10" s="3">
        <v>174675.42</v>
      </c>
      <c r="M10" s="2" t="s">
        <v>44</v>
      </c>
    </row>
    <row r="11" spans="1:13">
      <c r="A11" s="2" t="s">
        <v>33</v>
      </c>
      <c r="B11" s="3">
        <v>38727.279999999999</v>
      </c>
      <c r="C11" s="3">
        <v>39580.92</v>
      </c>
      <c r="D11" s="3">
        <v>60969.93</v>
      </c>
      <c r="E11" s="3">
        <v>44680.56</v>
      </c>
      <c r="F11" s="3">
        <v>93961.26</v>
      </c>
      <c r="H11" s="3">
        <v>38941.93</v>
      </c>
      <c r="I11" s="2" t="s">
        <v>45</v>
      </c>
      <c r="L11" s="3">
        <v>96260.45</v>
      </c>
      <c r="M11" s="2" t="s">
        <v>46</v>
      </c>
    </row>
    <row r="12" spans="1:13">
      <c r="A12" s="2" t="s">
        <v>34</v>
      </c>
      <c r="B12" s="3">
        <v>561339.5</v>
      </c>
      <c r="C12" s="3">
        <v>425609.05</v>
      </c>
      <c r="D12" s="3">
        <v>373350.99</v>
      </c>
      <c r="E12" s="3">
        <v>375887.28</v>
      </c>
      <c r="F12" s="3">
        <v>398883.77</v>
      </c>
      <c r="H12" s="3">
        <v>528573.17000000004</v>
      </c>
      <c r="I12" s="2" t="s">
        <v>47</v>
      </c>
      <c r="L12" s="3">
        <v>102409.69</v>
      </c>
      <c r="M12" s="2" t="s">
        <v>66</v>
      </c>
    </row>
    <row r="14" spans="1:13">
      <c r="A14" s="2" t="s">
        <v>35</v>
      </c>
      <c r="B14" s="3">
        <v>2483965.61</v>
      </c>
      <c r="C14" s="3">
        <v>2357100.56</v>
      </c>
      <c r="D14" s="3">
        <v>2320789.19</v>
      </c>
      <c r="E14" s="3">
        <v>2182889.48</v>
      </c>
      <c r="F14" s="3">
        <v>2196359.92</v>
      </c>
      <c r="H14" s="3">
        <v>2938572.61</v>
      </c>
      <c r="L14" s="3">
        <v>3436690.75</v>
      </c>
    </row>
    <row r="17" spans="1:13">
      <c r="A17" s="2" t="s">
        <v>14</v>
      </c>
    </row>
    <row r="18" spans="1:13">
      <c r="A18" s="2" t="s">
        <v>36</v>
      </c>
      <c r="B18" s="3">
        <v>455659.94</v>
      </c>
      <c r="C18" s="3">
        <v>469163.31</v>
      </c>
      <c r="D18" s="3">
        <v>526027.03</v>
      </c>
      <c r="E18" s="3">
        <v>547336.62</v>
      </c>
      <c r="F18" s="3">
        <v>767697.19</v>
      </c>
      <c r="H18" s="3">
        <v>486657.59</v>
      </c>
      <c r="I18" s="2" t="s">
        <v>48</v>
      </c>
      <c r="L18" s="3">
        <v>307050.53999999998</v>
      </c>
    </row>
    <row r="19" spans="1:13">
      <c r="A19" s="2" t="s">
        <v>16</v>
      </c>
      <c r="B19" s="3">
        <v>4519.97</v>
      </c>
      <c r="C19" s="3">
        <v>1469.93</v>
      </c>
      <c r="D19" s="3">
        <v>13841.68</v>
      </c>
      <c r="E19" s="3">
        <v>25800.11</v>
      </c>
      <c r="F19" s="3">
        <v>16227.12</v>
      </c>
      <c r="H19" s="3">
        <v>24817.1</v>
      </c>
      <c r="I19" s="2" t="s">
        <v>49</v>
      </c>
      <c r="L19" s="3">
        <v>399063.42</v>
      </c>
    </row>
    <row r="20" spans="1:13">
      <c r="A20" s="2" t="s">
        <v>37</v>
      </c>
      <c r="B20" s="3">
        <v>53748.7</v>
      </c>
      <c r="C20" s="3">
        <v>109238.44</v>
      </c>
      <c r="D20" s="3">
        <v>49171.95</v>
      </c>
      <c r="E20" s="3">
        <v>83859.98</v>
      </c>
      <c r="F20" s="3">
        <v>44748.57</v>
      </c>
      <c r="H20" s="3">
        <v>70387.08</v>
      </c>
      <c r="I20" s="2" t="s">
        <v>50</v>
      </c>
      <c r="L20" s="3">
        <v>56543.839999999997</v>
      </c>
    </row>
    <row r="21" spans="1:13">
      <c r="A21" s="2" t="s">
        <v>18</v>
      </c>
      <c r="B21" s="3">
        <v>4368.13</v>
      </c>
      <c r="C21" s="3">
        <v>4591.24</v>
      </c>
      <c r="D21" s="3">
        <v>5312.75</v>
      </c>
      <c r="E21" s="3">
        <v>5833.28</v>
      </c>
      <c r="F21" s="3">
        <v>7014.57</v>
      </c>
      <c r="H21" s="3">
        <v>2750.61</v>
      </c>
      <c r="I21" s="2" t="s">
        <v>51</v>
      </c>
      <c r="L21" s="3">
        <v>1961.33</v>
      </c>
    </row>
    <row r="22" spans="1:13">
      <c r="A22" s="2" t="s">
        <v>38</v>
      </c>
      <c r="B22" s="3">
        <v>280615.34000000003</v>
      </c>
      <c r="C22" s="3">
        <v>287025.87</v>
      </c>
      <c r="D22" s="3">
        <v>318748.82</v>
      </c>
      <c r="E22" s="3">
        <v>259606.16</v>
      </c>
      <c r="F22" s="3">
        <v>190319.85</v>
      </c>
      <c r="H22" s="3">
        <v>228447.44</v>
      </c>
      <c r="I22" s="2" t="s">
        <v>52</v>
      </c>
      <c r="L22" s="3">
        <v>284306.3</v>
      </c>
      <c r="M22" s="2" t="s">
        <v>53</v>
      </c>
    </row>
    <row r="24" spans="1:13">
      <c r="A24" s="2" t="s">
        <v>39</v>
      </c>
      <c r="B24" s="3">
        <v>798912.08</v>
      </c>
      <c r="C24" s="3">
        <v>871488.79</v>
      </c>
      <c r="D24" s="3">
        <v>913102.23</v>
      </c>
      <c r="E24" s="3">
        <v>922436.15</v>
      </c>
      <c r="F24" s="3">
        <v>1026007.3</v>
      </c>
      <c r="H24" s="3">
        <v>813059.82</v>
      </c>
      <c r="L24" s="3">
        <v>1048925.43</v>
      </c>
    </row>
    <row r="26" spans="1:13">
      <c r="A26" s="2" t="s">
        <v>67</v>
      </c>
      <c r="B26" s="3">
        <v>1685053.53</v>
      </c>
      <c r="C26" s="3">
        <v>1485611.77</v>
      </c>
      <c r="D26" s="3">
        <v>1407686.96</v>
      </c>
      <c r="E26" s="3">
        <v>1260453.33</v>
      </c>
      <c r="F26" s="3">
        <v>1170352.6200000001</v>
      </c>
      <c r="H26" s="3">
        <v>2125512.79</v>
      </c>
      <c r="L26" s="3">
        <v>2387765.3199999998</v>
      </c>
      <c r="M26" s="2" t="s">
        <v>54</v>
      </c>
    </row>
    <row r="28" spans="1:13">
      <c r="A28" s="2" t="s">
        <v>68</v>
      </c>
    </row>
    <row r="30" spans="1:13">
      <c r="A30" s="2" t="s">
        <v>69</v>
      </c>
      <c r="B30" s="3">
        <v>106294.84</v>
      </c>
      <c r="C30" s="3">
        <v>83730.73</v>
      </c>
      <c r="D30" s="3">
        <v>74600.05</v>
      </c>
      <c r="E30" s="3">
        <v>78425.27</v>
      </c>
      <c r="F30" s="3">
        <v>84612.07</v>
      </c>
      <c r="H30" s="3">
        <v>102409.69</v>
      </c>
      <c r="I30" s="2" t="s">
        <v>66</v>
      </c>
      <c r="L30" s="3"/>
    </row>
    <row r="32" spans="1:13">
      <c r="A32" s="2" t="s">
        <v>70</v>
      </c>
    </row>
    <row r="33" spans="1:12">
      <c r="A33" s="2" t="s">
        <v>8</v>
      </c>
      <c r="B33" s="3">
        <v>2590260.4500000002</v>
      </c>
      <c r="C33" s="3">
        <v>2440831.29</v>
      </c>
      <c r="D33" s="3">
        <v>2395389.2400000002</v>
      </c>
      <c r="E33" s="3">
        <v>2261314.75</v>
      </c>
      <c r="F33" s="3">
        <v>2280701.9900000002</v>
      </c>
      <c r="H33" s="3">
        <v>3040982.3</v>
      </c>
      <c r="L33" s="3"/>
    </row>
    <row r="34" spans="1:12">
      <c r="A34" s="2" t="s">
        <v>14</v>
      </c>
      <c r="B34" s="3">
        <v>798912.08</v>
      </c>
      <c r="C34" s="3">
        <v>871488.79</v>
      </c>
      <c r="D34" s="3">
        <v>913102.23</v>
      </c>
      <c r="E34" s="3">
        <v>922436.15</v>
      </c>
      <c r="F34" s="3">
        <v>1026007.4</v>
      </c>
      <c r="H34" s="3">
        <v>813059.82</v>
      </c>
      <c r="L34" s="3"/>
    </row>
    <row r="35" spans="1:12">
      <c r="A35" s="2" t="s">
        <v>71</v>
      </c>
      <c r="B35" s="3">
        <v>1791348.37</v>
      </c>
      <c r="C35" s="3">
        <v>1569342.5</v>
      </c>
      <c r="D35" s="3">
        <v>1482287.01</v>
      </c>
      <c r="E35" s="3">
        <v>1338878.6000000001</v>
      </c>
      <c r="F35" s="3">
        <v>1254694.5900000001</v>
      </c>
      <c r="H35" s="3">
        <v>2227922.48</v>
      </c>
      <c r="L35" s="3"/>
    </row>
    <row r="37" spans="1:12">
      <c r="A37" s="2" t="s">
        <v>72</v>
      </c>
    </row>
    <row r="41" spans="1:12">
      <c r="A41" s="2" t="s">
        <v>73</v>
      </c>
    </row>
    <row r="43" spans="1:12">
      <c r="A43" s="2" t="s">
        <v>74</v>
      </c>
      <c r="C43" s="2" t="s">
        <v>75</v>
      </c>
      <c r="D43" s="2" t="s">
        <v>76</v>
      </c>
      <c r="E43" s="2" t="s">
        <v>77</v>
      </c>
      <c r="F43" s="2" t="s">
        <v>78</v>
      </c>
      <c r="G43" s="2" t="s">
        <v>79</v>
      </c>
      <c r="H43" s="2" t="s">
        <v>80</v>
      </c>
      <c r="I43" s="2" t="s">
        <v>81</v>
      </c>
    </row>
    <row r="44" spans="1:12">
      <c r="A44" s="2" t="s">
        <v>82</v>
      </c>
      <c r="C44" s="2">
        <v>759</v>
      </c>
      <c r="D44" s="2">
        <v>27</v>
      </c>
      <c r="E44" s="2">
        <v>0</v>
      </c>
      <c r="F44" s="2">
        <v>786</v>
      </c>
      <c r="G44" s="2">
        <v>4</v>
      </c>
      <c r="H44" s="2">
        <v>8</v>
      </c>
      <c r="I44" s="2">
        <v>0</v>
      </c>
    </row>
    <row r="45" spans="1:12">
      <c r="A45" s="2" t="s">
        <v>83</v>
      </c>
      <c r="C45" s="2">
        <v>417</v>
      </c>
      <c r="D45" s="2">
        <v>16</v>
      </c>
      <c r="E45" s="2">
        <v>11</v>
      </c>
      <c r="F45" s="2">
        <v>444</v>
      </c>
      <c r="G45" s="2">
        <v>4</v>
      </c>
      <c r="H45" s="2">
        <v>16</v>
      </c>
      <c r="I45" s="2">
        <v>0</v>
      </c>
    </row>
    <row r="46" spans="1:12">
      <c r="A46" s="2" t="s">
        <v>84</v>
      </c>
      <c r="C46" s="2">
        <v>331</v>
      </c>
      <c r="D46" s="2">
        <v>4</v>
      </c>
      <c r="E46" s="2">
        <v>8</v>
      </c>
      <c r="F46" s="2">
        <v>343</v>
      </c>
      <c r="G46" s="2">
        <v>0</v>
      </c>
      <c r="H46" s="2">
        <v>0</v>
      </c>
      <c r="I46" s="2">
        <v>0</v>
      </c>
    </row>
    <row r="47" spans="1:12">
      <c r="A47" s="2" t="s">
        <v>85</v>
      </c>
      <c r="C47" s="2">
        <v>85</v>
      </c>
      <c r="D47" s="2">
        <v>3</v>
      </c>
      <c r="E47" s="2">
        <v>0</v>
      </c>
      <c r="F47" s="2">
        <v>88</v>
      </c>
      <c r="G47" s="2">
        <v>1</v>
      </c>
      <c r="H47" s="2">
        <v>2</v>
      </c>
      <c r="I47" s="2">
        <v>0</v>
      </c>
    </row>
    <row r="48" spans="1:12">
      <c r="A48" s="2" t="s">
        <v>86</v>
      </c>
      <c r="C48" s="2">
        <v>73</v>
      </c>
      <c r="D48" s="2">
        <v>1</v>
      </c>
      <c r="E48" s="2">
        <v>0</v>
      </c>
      <c r="F48" s="2">
        <v>74</v>
      </c>
      <c r="G48" s="2">
        <v>1</v>
      </c>
      <c r="H48" s="2">
        <v>1</v>
      </c>
      <c r="I48" s="2">
        <v>0</v>
      </c>
    </row>
    <row r="49" spans="1:9">
      <c r="A49" s="2" t="s">
        <v>87</v>
      </c>
      <c r="C49" s="2">
        <v>73</v>
      </c>
      <c r="D49" s="2">
        <v>0</v>
      </c>
      <c r="E49" s="2">
        <v>0</v>
      </c>
      <c r="F49" s="2">
        <v>73</v>
      </c>
      <c r="G49" s="2">
        <v>0</v>
      </c>
      <c r="H49" s="2">
        <v>0</v>
      </c>
      <c r="I49" s="2">
        <v>10</v>
      </c>
    </row>
    <row r="50" spans="1:9">
      <c r="A50" s="2" t="s">
        <v>88</v>
      </c>
      <c r="C50" s="2">
        <v>54</v>
      </c>
      <c r="D50" s="2">
        <v>2</v>
      </c>
      <c r="E50" s="2">
        <v>0</v>
      </c>
      <c r="F50" s="2">
        <v>56</v>
      </c>
      <c r="G50" s="2">
        <v>0</v>
      </c>
      <c r="H50" s="2">
        <v>0</v>
      </c>
      <c r="I50" s="2">
        <v>0</v>
      </c>
    </row>
    <row r="51" spans="1:9">
      <c r="A51" s="2" t="s">
        <v>89</v>
      </c>
      <c r="C51" s="2">
        <v>49</v>
      </c>
      <c r="D51" s="2">
        <v>1</v>
      </c>
      <c r="E51" s="2">
        <v>0</v>
      </c>
      <c r="F51" s="2">
        <v>50</v>
      </c>
      <c r="G51" s="2">
        <v>0</v>
      </c>
      <c r="H51" s="2">
        <v>2</v>
      </c>
      <c r="I51" s="2">
        <v>0</v>
      </c>
    </row>
    <row r="52" spans="1:9">
      <c r="A52" s="2" t="s">
        <v>90</v>
      </c>
      <c r="C52" s="2">
        <v>115</v>
      </c>
      <c r="D52" s="2">
        <v>0</v>
      </c>
      <c r="E52" s="2">
        <v>0</v>
      </c>
      <c r="F52" s="2">
        <v>115</v>
      </c>
      <c r="G52" s="2">
        <v>0</v>
      </c>
      <c r="H52" s="2">
        <v>5</v>
      </c>
      <c r="I52" s="2">
        <v>0</v>
      </c>
    </row>
    <row r="53" spans="1:9">
      <c r="A53" s="2" t="s">
        <v>91</v>
      </c>
      <c r="C53" s="2">
        <v>22</v>
      </c>
      <c r="D53" s="2">
        <v>0</v>
      </c>
      <c r="E53" s="2">
        <v>0</v>
      </c>
      <c r="F53" s="2">
        <v>22</v>
      </c>
      <c r="G53" s="2">
        <v>0</v>
      </c>
      <c r="H53" s="2">
        <v>0</v>
      </c>
      <c r="I53" s="2">
        <v>0</v>
      </c>
    </row>
    <row r="54" spans="1:9">
      <c r="A54" s="2" t="s">
        <v>92</v>
      </c>
      <c r="C54" s="2">
        <v>25</v>
      </c>
      <c r="D54" s="2">
        <v>0</v>
      </c>
      <c r="E54" s="2">
        <v>0</v>
      </c>
      <c r="F54" s="2">
        <v>25</v>
      </c>
      <c r="G54" s="2">
        <v>0</v>
      </c>
      <c r="H54" s="2">
        <v>0</v>
      </c>
      <c r="I54" s="2">
        <v>0</v>
      </c>
    </row>
    <row r="55" spans="1:9">
      <c r="A55" s="2" t="s">
        <v>93</v>
      </c>
      <c r="C55" s="2">
        <v>32</v>
      </c>
      <c r="D55" s="2">
        <v>0</v>
      </c>
      <c r="E55" s="2">
        <v>0</v>
      </c>
      <c r="F55" s="2">
        <v>32</v>
      </c>
      <c r="G55" s="2">
        <v>0</v>
      </c>
      <c r="H55" s="2">
        <v>0</v>
      </c>
      <c r="I55" s="2">
        <v>0</v>
      </c>
    </row>
    <row r="56" spans="1:9">
      <c r="A56" s="2" t="s">
        <v>94</v>
      </c>
      <c r="C56" s="2">
        <v>54</v>
      </c>
      <c r="D56" s="2">
        <v>0</v>
      </c>
      <c r="E56" s="2">
        <v>0</v>
      </c>
      <c r="F56" s="2">
        <v>54</v>
      </c>
      <c r="G56" s="2">
        <v>0</v>
      </c>
      <c r="H56" s="2">
        <v>0</v>
      </c>
      <c r="I56" s="2">
        <v>0</v>
      </c>
    </row>
    <row r="57" spans="1:9">
      <c r="A57" s="2" t="s">
        <v>95</v>
      </c>
      <c r="C57" s="2">
        <v>10</v>
      </c>
      <c r="D57" s="2">
        <v>0</v>
      </c>
      <c r="E57" s="2">
        <v>0</v>
      </c>
      <c r="F57" s="2">
        <v>10</v>
      </c>
      <c r="G57" s="2">
        <v>0</v>
      </c>
      <c r="H57" s="2">
        <v>0</v>
      </c>
      <c r="I57" s="2">
        <v>0</v>
      </c>
    </row>
    <row r="58" spans="1:9">
      <c r="A58" s="2" t="s">
        <v>78</v>
      </c>
      <c r="C58" s="19">
        <v>2099</v>
      </c>
      <c r="D58" s="2">
        <v>54</v>
      </c>
      <c r="E58" s="2">
        <v>19</v>
      </c>
      <c r="F58" s="19">
        <v>2172</v>
      </c>
      <c r="G58" s="2">
        <v>10</v>
      </c>
      <c r="H58" s="2">
        <v>34</v>
      </c>
      <c r="I58" s="2">
        <v>10</v>
      </c>
    </row>
    <row r="60" spans="1:9">
      <c r="A60" s="2" t="s">
        <v>96</v>
      </c>
    </row>
    <row r="61" spans="1:9">
      <c r="A61" s="2" t="s">
        <v>97</v>
      </c>
      <c r="C61" s="2">
        <v>56</v>
      </c>
      <c r="D61" s="2">
        <v>0</v>
      </c>
      <c r="E61" s="2">
        <v>0</v>
      </c>
      <c r="F61" s="2">
        <v>56</v>
      </c>
      <c r="G61" s="2">
        <v>1</v>
      </c>
      <c r="H61" s="2">
        <v>2</v>
      </c>
      <c r="I61" s="2">
        <v>0</v>
      </c>
    </row>
    <row r="62" spans="1:9">
      <c r="A62" s="2" t="s">
        <v>98</v>
      </c>
      <c r="C62" s="2">
        <v>48</v>
      </c>
      <c r="D62" s="2">
        <v>0</v>
      </c>
      <c r="E62" s="2">
        <v>0</v>
      </c>
      <c r="F62" s="2">
        <v>48</v>
      </c>
      <c r="G62" s="2">
        <v>0</v>
      </c>
      <c r="H62" s="2">
        <v>0</v>
      </c>
      <c r="I62" s="2" t="s">
        <v>99</v>
      </c>
    </row>
    <row r="63" spans="1:9">
      <c r="A63" s="2" t="s">
        <v>100</v>
      </c>
      <c r="C63" s="2">
        <v>240</v>
      </c>
      <c r="D63" s="2">
        <v>0</v>
      </c>
      <c r="E63" s="2">
        <v>0</v>
      </c>
      <c r="F63" s="2">
        <v>240</v>
      </c>
      <c r="G63" s="2">
        <v>0</v>
      </c>
      <c r="H63" s="2">
        <v>0</v>
      </c>
      <c r="I63" s="2">
        <v>10</v>
      </c>
    </row>
    <row r="64" spans="1:9">
      <c r="A64" s="2" t="s">
        <v>101</v>
      </c>
      <c r="C64" s="2">
        <v>350</v>
      </c>
      <c r="D64" s="2">
        <v>5</v>
      </c>
      <c r="E64" s="2">
        <v>0</v>
      </c>
      <c r="F64" s="2">
        <v>355</v>
      </c>
      <c r="G64" s="2">
        <v>0</v>
      </c>
      <c r="H64" s="2">
        <v>4</v>
      </c>
      <c r="I64" s="2">
        <v>4</v>
      </c>
    </row>
    <row r="65" spans="1:9">
      <c r="A65" s="2" t="s">
        <v>102</v>
      </c>
      <c r="C65" s="2">
        <v>70</v>
      </c>
      <c r="D65" s="2">
        <v>0</v>
      </c>
      <c r="E65" s="2">
        <v>0</v>
      </c>
      <c r="F65" s="2">
        <v>70</v>
      </c>
      <c r="G65" s="2">
        <v>0</v>
      </c>
      <c r="H65" s="2">
        <v>0</v>
      </c>
      <c r="I65" s="2">
        <v>0</v>
      </c>
    </row>
    <row r="66" spans="1:9">
      <c r="A66" s="2" t="s">
        <v>103</v>
      </c>
      <c r="C66" s="2">
        <v>66</v>
      </c>
      <c r="D66" s="2">
        <v>4</v>
      </c>
      <c r="E66" s="2">
        <v>0</v>
      </c>
      <c r="F66" s="2">
        <v>70</v>
      </c>
      <c r="G66" s="2">
        <v>0</v>
      </c>
      <c r="H66" s="2">
        <v>3</v>
      </c>
      <c r="I66" s="2">
        <v>0</v>
      </c>
    </row>
    <row r="67" spans="1:9">
      <c r="A67" s="2" t="s">
        <v>104</v>
      </c>
      <c r="C67" s="2">
        <v>23</v>
      </c>
      <c r="D67" s="2">
        <v>0</v>
      </c>
      <c r="E67" s="2">
        <v>0</v>
      </c>
      <c r="F67" s="2">
        <v>23</v>
      </c>
      <c r="G67" s="2">
        <v>0</v>
      </c>
      <c r="H67" s="2">
        <v>0</v>
      </c>
      <c r="I67" s="2">
        <v>0</v>
      </c>
    </row>
    <row r="68" spans="1:9">
      <c r="A68" s="2" t="s">
        <v>105</v>
      </c>
      <c r="C68" s="2">
        <v>8</v>
      </c>
      <c r="D68" s="2">
        <v>0</v>
      </c>
      <c r="E68" s="2">
        <v>0</v>
      </c>
      <c r="F68" s="2">
        <v>8</v>
      </c>
      <c r="G68" s="2">
        <v>0</v>
      </c>
      <c r="H68" s="2">
        <v>0</v>
      </c>
      <c r="I68" s="2">
        <v>0</v>
      </c>
    </row>
    <row r="69" spans="1:9">
      <c r="A69" s="2" t="s">
        <v>78</v>
      </c>
      <c r="C69" s="2">
        <v>861</v>
      </c>
      <c r="D69" s="2">
        <v>9</v>
      </c>
      <c r="E69" s="2">
        <v>0</v>
      </c>
      <c r="F69" s="2">
        <v>870</v>
      </c>
      <c r="G69" s="2">
        <v>1</v>
      </c>
      <c r="H69" s="2">
        <v>9</v>
      </c>
      <c r="I69" s="2">
        <v>14</v>
      </c>
    </row>
    <row r="71" spans="1:9">
      <c r="A71" s="2" t="s">
        <v>106</v>
      </c>
    </row>
    <row r="72" spans="1:9">
      <c r="A72" s="2" t="s">
        <v>107</v>
      </c>
      <c r="C72" s="2">
        <v>42</v>
      </c>
      <c r="D72" s="2">
        <v>3</v>
      </c>
      <c r="E72" s="2">
        <v>0</v>
      </c>
      <c r="F72" s="2">
        <v>45</v>
      </c>
      <c r="G72" s="2">
        <v>0</v>
      </c>
      <c r="H72" s="2">
        <v>6</v>
      </c>
      <c r="I72" s="2">
        <v>0</v>
      </c>
    </row>
    <row r="73" spans="1:9">
      <c r="A73" s="2" t="s">
        <v>108</v>
      </c>
      <c r="C73" s="2">
        <v>186</v>
      </c>
      <c r="D73" s="2">
        <v>7</v>
      </c>
      <c r="E73" s="2">
        <v>0</v>
      </c>
      <c r="F73" s="2">
        <v>193</v>
      </c>
      <c r="G73" s="2">
        <v>0</v>
      </c>
      <c r="H73" s="2">
        <v>2</v>
      </c>
      <c r="I73" s="2">
        <v>0</v>
      </c>
    </row>
    <row r="74" spans="1:9">
      <c r="A74" s="2" t="s">
        <v>109</v>
      </c>
      <c r="C74" s="2">
        <v>32</v>
      </c>
      <c r="D74" s="2">
        <v>0</v>
      </c>
      <c r="E74" s="2">
        <v>0</v>
      </c>
      <c r="F74" s="2">
        <v>32</v>
      </c>
      <c r="G74" s="2">
        <v>0</v>
      </c>
      <c r="H74" s="2">
        <v>0</v>
      </c>
      <c r="I74" s="2">
        <v>8</v>
      </c>
    </row>
    <row r="75" spans="1:9">
      <c r="A75" s="2" t="s">
        <v>110</v>
      </c>
      <c r="C75" s="2">
        <v>135</v>
      </c>
      <c r="D75" s="2">
        <v>0</v>
      </c>
      <c r="E75" s="2">
        <v>0</v>
      </c>
      <c r="F75" s="2">
        <v>135</v>
      </c>
      <c r="G75" s="2">
        <v>0</v>
      </c>
      <c r="H75" s="2">
        <v>0</v>
      </c>
      <c r="I75" s="2">
        <v>0</v>
      </c>
    </row>
    <row r="76" spans="1:9">
      <c r="A76" s="2" t="s">
        <v>111</v>
      </c>
      <c r="C76" s="2">
        <v>55</v>
      </c>
      <c r="D76" s="2">
        <v>1</v>
      </c>
      <c r="E76" s="2">
        <v>0</v>
      </c>
      <c r="F76" s="2">
        <v>56</v>
      </c>
      <c r="G76" s="2">
        <v>0</v>
      </c>
      <c r="H76" s="2">
        <v>0</v>
      </c>
      <c r="I76" s="2">
        <v>0</v>
      </c>
    </row>
    <row r="77" spans="1:9">
      <c r="A77" s="2" t="s">
        <v>112</v>
      </c>
      <c r="C77" s="2">
        <v>17</v>
      </c>
      <c r="D77" s="2">
        <v>1</v>
      </c>
      <c r="E77" s="2">
        <v>0</v>
      </c>
      <c r="F77" s="2">
        <v>18</v>
      </c>
      <c r="G77" s="2">
        <v>0</v>
      </c>
      <c r="H77" s="2">
        <v>0</v>
      </c>
      <c r="I77" s="2">
        <v>0</v>
      </c>
    </row>
    <row r="78" spans="1:9">
      <c r="A78" s="2" t="s">
        <v>113</v>
      </c>
      <c r="C78" s="2">
        <v>177</v>
      </c>
      <c r="D78" s="2">
        <v>10</v>
      </c>
      <c r="E78" s="2">
        <v>0</v>
      </c>
      <c r="F78" s="2">
        <v>187</v>
      </c>
      <c r="G78" s="2">
        <v>0</v>
      </c>
      <c r="H78" s="2">
        <v>0</v>
      </c>
      <c r="I78" s="2">
        <v>0</v>
      </c>
    </row>
    <row r="79" spans="1:9">
      <c r="A79" s="2" t="s">
        <v>78</v>
      </c>
      <c r="C79" s="2">
        <v>644</v>
      </c>
      <c r="D79" s="2">
        <v>22</v>
      </c>
      <c r="E79" s="2">
        <v>0</v>
      </c>
      <c r="F79" s="2">
        <v>666</v>
      </c>
      <c r="G79" s="2">
        <v>0</v>
      </c>
      <c r="H79" s="2">
        <v>8</v>
      </c>
      <c r="I79" s="2">
        <v>8</v>
      </c>
    </row>
    <row r="81" spans="1:9">
      <c r="A81" s="2" t="s">
        <v>114</v>
      </c>
    </row>
    <row r="82" spans="1:9">
      <c r="A82" s="2" t="s">
        <v>115</v>
      </c>
      <c r="C82" s="2">
        <v>81</v>
      </c>
      <c r="D82" s="2">
        <v>3</v>
      </c>
      <c r="E82" s="2">
        <v>0</v>
      </c>
      <c r="F82" s="2">
        <v>84</v>
      </c>
      <c r="G82" s="2">
        <v>1</v>
      </c>
      <c r="H82" s="2">
        <v>3</v>
      </c>
      <c r="I82" s="2">
        <v>0</v>
      </c>
    </row>
    <row r="83" spans="1:9">
      <c r="A83" s="2" t="s">
        <v>116</v>
      </c>
      <c r="C83" s="2">
        <v>66</v>
      </c>
      <c r="D83" s="2">
        <v>0</v>
      </c>
      <c r="E83" s="2">
        <v>0</v>
      </c>
      <c r="F83" s="2">
        <v>66</v>
      </c>
      <c r="G83" s="2">
        <v>0</v>
      </c>
      <c r="H83" s="2">
        <v>0</v>
      </c>
      <c r="I83" s="2">
        <v>0</v>
      </c>
    </row>
    <row r="84" spans="1:9">
      <c r="A84" s="2" t="s">
        <v>117</v>
      </c>
      <c r="C84" s="2">
        <v>75</v>
      </c>
      <c r="D84" s="2">
        <v>0</v>
      </c>
      <c r="E84" s="2">
        <v>0</v>
      </c>
      <c r="F84" s="2">
        <v>75</v>
      </c>
      <c r="G84" s="2">
        <v>0</v>
      </c>
      <c r="H84" s="2">
        <v>0</v>
      </c>
      <c r="I84" s="2">
        <v>4</v>
      </c>
    </row>
    <row r="85" spans="1:9">
      <c r="A85" s="2" t="s">
        <v>118</v>
      </c>
      <c r="C85" s="2">
        <v>23</v>
      </c>
      <c r="D85" s="2">
        <v>0</v>
      </c>
      <c r="E85" s="2">
        <v>0</v>
      </c>
      <c r="F85" s="2">
        <v>23</v>
      </c>
      <c r="G85" s="2">
        <v>0</v>
      </c>
      <c r="H85" s="2">
        <v>0</v>
      </c>
      <c r="I85" s="2">
        <v>0</v>
      </c>
    </row>
    <row r="86" spans="1:9">
      <c r="A86" s="2" t="s">
        <v>78</v>
      </c>
      <c r="C86" s="2">
        <v>245</v>
      </c>
      <c r="D86" s="2">
        <v>3</v>
      </c>
      <c r="E86" s="2">
        <v>0</v>
      </c>
      <c r="F86" s="2">
        <v>248</v>
      </c>
      <c r="G86" s="2">
        <v>1</v>
      </c>
      <c r="H86" s="2">
        <v>3</v>
      </c>
      <c r="I86" s="2">
        <v>4</v>
      </c>
    </row>
    <row r="88" spans="1:9">
      <c r="A88" s="2" t="s">
        <v>119</v>
      </c>
    </row>
    <row r="89" spans="1:9">
      <c r="A89" s="2" t="s">
        <v>120</v>
      </c>
      <c r="C89" s="2">
        <v>18</v>
      </c>
      <c r="D89" s="2">
        <v>0</v>
      </c>
      <c r="E89" s="2">
        <v>0</v>
      </c>
      <c r="F89" s="2">
        <v>18</v>
      </c>
      <c r="G89" s="2">
        <v>0</v>
      </c>
      <c r="H89" s="2">
        <v>0</v>
      </c>
      <c r="I89" s="2">
        <v>0</v>
      </c>
    </row>
    <row r="90" spans="1:9">
      <c r="A90" s="2" t="s">
        <v>121</v>
      </c>
      <c r="C90" s="2">
        <v>10</v>
      </c>
      <c r="D90" s="2">
        <v>0</v>
      </c>
      <c r="E90" s="2">
        <v>0</v>
      </c>
      <c r="F90" s="2">
        <v>10</v>
      </c>
      <c r="G90" s="2">
        <v>0</v>
      </c>
      <c r="H90" s="2">
        <v>0</v>
      </c>
      <c r="I90" s="2">
        <v>0</v>
      </c>
    </row>
    <row r="91" spans="1:9">
      <c r="A91" s="2" t="s">
        <v>122</v>
      </c>
      <c r="C91" s="2">
        <v>18</v>
      </c>
      <c r="D91" s="2">
        <v>0</v>
      </c>
      <c r="E91" s="2">
        <v>0</v>
      </c>
      <c r="F91" s="2">
        <v>18</v>
      </c>
      <c r="G91" s="2">
        <v>0</v>
      </c>
      <c r="H91" s="2">
        <v>0</v>
      </c>
      <c r="I91" s="2">
        <v>0</v>
      </c>
    </row>
    <row r="92" spans="1:9">
      <c r="A92" s="2" t="s">
        <v>123</v>
      </c>
      <c r="C92" s="2">
        <v>10</v>
      </c>
      <c r="D92" s="2">
        <v>0</v>
      </c>
      <c r="E92" s="2">
        <v>0</v>
      </c>
      <c r="F92" s="2">
        <v>10</v>
      </c>
      <c r="G92" s="2">
        <v>0</v>
      </c>
      <c r="H92" s="2">
        <v>0</v>
      </c>
      <c r="I92" s="2">
        <v>0</v>
      </c>
    </row>
    <row r="93" spans="1:9">
      <c r="A93" s="2" t="s">
        <v>78</v>
      </c>
      <c r="C93" s="2">
        <v>56</v>
      </c>
      <c r="D93" s="2">
        <v>0</v>
      </c>
      <c r="E93" s="2">
        <v>0</v>
      </c>
      <c r="F93" s="2">
        <v>56</v>
      </c>
      <c r="G93" s="2">
        <v>0</v>
      </c>
      <c r="H93" s="2">
        <v>0</v>
      </c>
      <c r="I93" s="2">
        <v>0</v>
      </c>
    </row>
    <row r="95" spans="1:9">
      <c r="A95" s="2" t="s">
        <v>124</v>
      </c>
      <c r="C95" s="19">
        <v>3905</v>
      </c>
      <c r="D95" s="2">
        <v>88</v>
      </c>
      <c r="E95" s="2">
        <v>19</v>
      </c>
      <c r="F95" s="19">
        <v>4012</v>
      </c>
      <c r="G95" s="2">
        <v>12</v>
      </c>
      <c r="H95" s="2">
        <v>54</v>
      </c>
      <c r="I95" s="2">
        <v>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erational" ma:contentTypeID="0x010100EAD4B8C29F8A7346A333F9E4E762FB272300DBC0505990A4284283878B4503D355A6" ma:contentTypeVersion="3" ma:contentTypeDescription="Operational information. Not a HBC guide to a process - please see UserGuide" ma:contentTypeScope="" ma:versionID="7bc2d9afa8630a1afc25981a1b78693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8a6db1cb-ed3f-4fec-a3c8-e4ebe6c177a3" ContentTypeId="0x010100EAD4B8C29F8A7346A333F9E4E762FB2723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426BEC-F1B0-4D17-B7C4-07B887EFD290}"/>
</file>

<file path=customXml/itemProps2.xml><?xml version="1.0" encoding="utf-8"?>
<ds:datastoreItem xmlns:ds="http://schemas.openxmlformats.org/officeDocument/2006/customXml" ds:itemID="{48B39C19-490A-474F-A67F-C2030B33D665}"/>
</file>

<file path=customXml/itemProps3.xml><?xml version="1.0" encoding="utf-8"?>
<ds:datastoreItem xmlns:ds="http://schemas.openxmlformats.org/officeDocument/2006/customXml" ds:itemID="{7DFEF0B1-5E20-4D5E-A493-3A22E4533741}"/>
</file>

<file path=customXml/itemProps4.xml><?xml version="1.0" encoding="utf-8"?>
<ds:datastoreItem xmlns:ds="http://schemas.openxmlformats.org/officeDocument/2006/customXml" ds:itemID="{85FD108D-86C5-452C-9690-59919DD9F3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Gillian Morland</dc:creator>
  <cp:keywords/>
  <dc:description/>
  <cp:lastModifiedBy>Clare Cryer</cp:lastModifiedBy>
  <cp:revision/>
  <dcterms:created xsi:type="dcterms:W3CDTF">2018-09-26T12:26:59Z</dcterms:created>
  <dcterms:modified xsi:type="dcterms:W3CDTF">2023-02-08T09:43:49Z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0x010100EAD4B8C29F8A7346A333F9E4E762FB272300DBC0505990A4284283878B4503D355A6</vt:lpwstr>
  </property>
</Properties>
</file>