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N:\FCS-DATA\Procurement\Governance\Governance &amp; Development Team BAU\Data North Yorkshire Publications\2023-24 - Q1\"/>
    </mc:Choice>
  </mc:AlternateContent>
  <xr:revisionPtr revIDLastSave="0" documentId="13_ncr:1_{EC1D821B-98F4-4570-984B-8CD2A190E4E2}" xr6:coauthVersionLast="47" xr6:coauthVersionMax="47" xr10:uidLastSave="{00000000-0000-0000-0000-000000000000}"/>
  <bookViews>
    <workbookView xWindow="-108" yWindow="-108" windowWidth="23256" windowHeight="12576" tabRatio="885" xr2:uid="{00000000-000D-0000-FFFF-FFFF00000000}"/>
  </bookViews>
  <sheets>
    <sheet name="ALL Projects" sheetId="2" r:id="rId1"/>
    <sheet name="Completed Archive 2017-2021" sheetId="10" state="hidden" r:id="rId2"/>
    <sheet name="Updates Summary" sheetId="8" state="hidden" r:id="rId3"/>
  </sheets>
  <definedNames>
    <definedName name="_xlnm._FilterDatabase" localSheetId="0" hidden="1">'ALL Projects'!$A$1:$P$522</definedName>
    <definedName name="_xlnm._FilterDatabase" localSheetId="1" hidden="1">'Completed Archive 2017-2021'!$A$1:$AR$1559</definedName>
    <definedName name="activity">#REF!</definedName>
    <definedName name="Brexit">#REF!</definedName>
    <definedName name="Covid">#REF!</definedName>
    <definedName name="LGR">#REF!</definedName>
    <definedName name="Officer">#REF!</definedName>
    <definedName name="Original">#REF!</definedName>
    <definedName name="Tiering">#REF!</definedName>
    <definedName name="Z_003B1AB3_8D06_40EC_94F2_6740D1E2A265_.wvu.FilterData" localSheetId="0" hidden="1">'ALL Projects'!$B$1:$P$129</definedName>
    <definedName name="Z_0075AE26_7AAE_449B_B498_05D3C89595DA_.wvu.FilterData" localSheetId="0" hidden="1">'ALL Projects'!$B$1:$P$135</definedName>
    <definedName name="Z_00D91806_925B_4394_A5B3_B11C821E8103_.wvu.FilterData" localSheetId="0" hidden="1">'ALL Projects'!$B$1:$P$130</definedName>
    <definedName name="Z_01812D94_F053_49C1_99F2_A5CAB6FF3B21_.wvu.FilterData" localSheetId="0" hidden="1">'ALL Projects'!$B$1:$P$132</definedName>
    <definedName name="Z_0269D223_84E6_4331_83D7_655DB20EE1CB_.wvu.FilterData" localSheetId="0" hidden="1">'ALL Projects'!$B$1:$P$137</definedName>
    <definedName name="Z_03AD2AFE_2DDD_4D37_8F9F_D1CAD93AE394_.wvu.FilterData" localSheetId="0" hidden="1">'ALL Projects'!$B$1:$P$144</definedName>
    <definedName name="Z_03D56F49_C2DE_488C_B836_4E0ACDAEFB2F_.wvu.FilterData" localSheetId="0" hidden="1">'ALL Projects'!$B$1:$P$130</definedName>
    <definedName name="Z_07F32D73_0887_4C61_B80C_4F2A1E182B41_.wvu.FilterData" localSheetId="0" hidden="1">'ALL Projects'!$B$1:$P$129</definedName>
    <definedName name="Z_08BF6DA5_E38A_415C_AE30_D544D5902C27_.wvu.FilterData" localSheetId="0" hidden="1">'ALL Projects'!$B$1:$P$129</definedName>
    <definedName name="Z_095BEB39_F669_4131_B0EF_73CEE374BBC6_.wvu.FilterData" localSheetId="0" hidden="1">'ALL Projects'!$B$1:$P$141</definedName>
    <definedName name="Z_09826763_377D_4A5B_B76B_CB81CA36F285_.wvu.FilterData" localSheetId="0" hidden="1">'ALL Projects'!$B$1:$P$129</definedName>
    <definedName name="Z_0A062110_F01C_4094_9499_FC5CC7C642E2_.wvu.FilterData" localSheetId="0" hidden="1">'ALL Projects'!$B$1:$P$137</definedName>
    <definedName name="Z_0CD513DD_33FB_453B_B67C_B6FFC23326F8_.wvu.FilterData" localSheetId="0" hidden="1">'ALL Projects'!$B$1:$P$121</definedName>
    <definedName name="Z_0D1A9293_E9D4_4695_8588_5A65AB75C085_.wvu.FilterData" localSheetId="0" hidden="1">'ALL Projects'!$B$1:$P$135</definedName>
    <definedName name="Z_0D579306_CD93_4D1A_BDE7_F5D4BF4FF7CF_.wvu.FilterData" localSheetId="0" hidden="1">'ALL Projects'!$B$1:$P$130</definedName>
    <definedName name="Z_0EBFD264_FE14_4A24_97DA_86F17A46DBA8_.wvu.FilterData" localSheetId="0" hidden="1">'ALL Projects'!$B$1:$P$135</definedName>
    <definedName name="Z_0EE34A58_3928_4D15_8AAD_2EC7663C2BC1_.wvu.FilterData" localSheetId="0" hidden="1">'ALL Projects'!$B$1:$P$123</definedName>
    <definedName name="Z_0F599003_BC66_455B_BA38_A01BA2677B53_.wvu.FilterData" localSheetId="0" hidden="1">'ALL Projects'!$B$1:$P$142</definedName>
    <definedName name="Z_0FAEE3E9_B67B_42F1_B33F_FB31A1FD4955_.wvu.FilterData" localSheetId="0" hidden="1">'ALL Projects'!$B$1:$P$124</definedName>
    <definedName name="Z_111E1D8A_D793_4E39_8420_A0C5178E038A_.wvu.FilterData" localSheetId="0" hidden="1">'ALL Projects'!$B$1:$P$129</definedName>
    <definedName name="Z_11A65F6F_52EA_4152_A199_6F48FAB59FD5_.wvu.FilterData" localSheetId="0" hidden="1">'ALL Projects'!$B$1:$P$141</definedName>
    <definedName name="Z_11BD298E_94C9_4FFD_BEE3_3CA72F8D8C39_.wvu.FilterData" localSheetId="0" hidden="1">'ALL Projects'!$B$1:$P$129</definedName>
    <definedName name="Z_11FC3533_2BE5_4492_AB88_9BE456464652_.wvu.FilterData" localSheetId="0" hidden="1">'ALL Projects'!$B$1:$P$142</definedName>
    <definedName name="Z_155DF722_B93D_4878_9619_82E423F23209_.wvu.FilterData" localSheetId="0" hidden="1">'ALL Projects'!$B$1:$P$141</definedName>
    <definedName name="Z_15B91433_CFF1_498B_9D8F_0F0E5A4CF350_.wvu.FilterData" localSheetId="0" hidden="1">'ALL Projects'!$B$1:$P$135</definedName>
    <definedName name="Z_16E86119_BBD6_44E6_A790_032ADE7BCDB6_.wvu.FilterData" localSheetId="0" hidden="1">'ALL Projects'!$B$1:$P$126</definedName>
    <definedName name="Z_1742D48C_2B22_42A2_AE02_8656C2B38EA3_.wvu.FilterData" localSheetId="0" hidden="1">'ALL Projects'!$B$1:$P$142</definedName>
    <definedName name="Z_17D79042_3807_42AB_B4B9_1DBEB9AC11C6_.wvu.FilterData" localSheetId="0" hidden="1">'ALL Projects'!$B$1:$P$137</definedName>
    <definedName name="Z_17EA4FE6_679F_4A90_B4A6_0E156B49811D_.wvu.FilterData" localSheetId="0" hidden="1">'ALL Projects'!$B$1:$P$141</definedName>
    <definedName name="Z_193EBE25_9BD9_4450_85D8_DC8F04B77E71_.wvu.FilterData" localSheetId="0" hidden="1">'ALL Projects'!$B$1:$P$141</definedName>
    <definedName name="Z_1CFD5D16_DB1A_4EE9_87BC_A06A2C3AF154_.wvu.FilterData" localSheetId="0" hidden="1">'ALL Projects'!$B$1:$P$125</definedName>
    <definedName name="Z_1DCF6E00_4D68_4E1B_9A12_2CEE2549AAA4_.wvu.FilterData" localSheetId="0" hidden="1">'ALL Projects'!$B$1:$P$130</definedName>
    <definedName name="Z_1EA6CC82_49D5_4496_8FD0_256A60AF5964_.wvu.FilterData" localSheetId="0" hidden="1">'ALL Projects'!$B$1:$P$129</definedName>
    <definedName name="Z_1ED78757_A508_407A_B753_EC94B0F94685_.wvu.FilterData" localSheetId="0" hidden="1">'ALL Projects'!$B$1:$P$142</definedName>
    <definedName name="Z_213C4034_2E41_40D7_9DB1_AE1D4EBFC754_.wvu.FilterData" localSheetId="0" hidden="1">'ALL Projects'!$B$1:$P$1</definedName>
    <definedName name="Z_24DBE284_1D17_4B3B_9CDC_5649FF34FFC1_.wvu.FilterData" localSheetId="0" hidden="1">'ALL Projects'!$B$1:$P$124</definedName>
    <definedName name="Z_25413084_6C62_4EF8_8CE7_66BB4B2325A1_.wvu.FilterData" localSheetId="0" hidden="1">'ALL Projects'!$B$1:$P$135</definedName>
    <definedName name="Z_285DDCCC_4F16_44EC_BF71_6F092DDA1BAC_.wvu.FilterData" localSheetId="0" hidden="1">'ALL Projects'!$B$1:$P$141</definedName>
    <definedName name="Z_28DFA2D7_87DC_4B3E_9FA5_74CA1D47AAE5_.wvu.FilterData" localSheetId="0" hidden="1">'ALL Projects'!$B$1:$P$129</definedName>
    <definedName name="Z_294F8C06_3B8B_4E54_A41B_53DB8C541B2C_.wvu.FilterData" localSheetId="0" hidden="1">'ALL Projects'!$B$1:$P$126</definedName>
    <definedName name="Z_2B13F76B_25C3_4174_A739_40F22F721CD1_.wvu.FilterData" localSheetId="0" hidden="1">'ALL Projects'!$B$1:$P$141</definedName>
    <definedName name="Z_2BC59008_CD38_4D00_8CD0_69DAE7D722ED_.wvu.FilterData" localSheetId="0" hidden="1">'ALL Projects'!$B$1:$P$1</definedName>
    <definedName name="Z_2C52BE34_3100_49FC_892A_93659A5E3412_.wvu.FilterData" localSheetId="0" hidden="1">'ALL Projects'!$B$1:$P$144</definedName>
    <definedName name="Z_2EDFFE2F_CD77_4A31_8D8F_A5B3AE0F051C_.wvu.FilterData" localSheetId="0" hidden="1">'ALL Projects'!$B$1:$P$126</definedName>
    <definedName name="Z_2FAFC9FA_3728_47B2_B859_0DA3F0C0AF96_.wvu.FilterData" localSheetId="0" hidden="1">'ALL Projects'!$B$1:$P$129</definedName>
    <definedName name="Z_2FD24E83_B6B8_4332_82DB_ABD8ABE5519D_.wvu.FilterData" localSheetId="0" hidden="1">'ALL Projects'!$B$1:$P$129</definedName>
    <definedName name="Z_322E6D24_5A37_4E59_BD47_3FEBBFA11456_.wvu.FilterData" localSheetId="0" hidden="1">'ALL Projects'!$B$1:$P$142</definedName>
    <definedName name="Z_3490ED87_1CDC_448F_A628_8FE222706B72_.wvu.FilterData" localSheetId="0" hidden="1">'ALL Projects'!$B$1:$P$126</definedName>
    <definedName name="Z_39E2E573_BE2D_4C4B_BE80_2AF7245862E8_.wvu.FilterData" localSheetId="0" hidden="1">'ALL Projects'!$B$1:$P$137</definedName>
    <definedName name="Z_3B0A8DDF_3D19_4A73_9279_02B25CE5052E_.wvu.FilterData" localSheetId="0" hidden="1">'ALL Projects'!$B$1:$P$122</definedName>
    <definedName name="Z_3BAD67D4_663C_42C9_974F_756DB521B725_.wvu.FilterData" localSheetId="0" hidden="1">'ALL Projects'!$B$1:$P$129</definedName>
    <definedName name="Z_3CFE9207_873B_4E99_9FC9_C229B0A6419A_.wvu.FilterData" localSheetId="0" hidden="1">'ALL Projects'!$B$1:$P$135</definedName>
    <definedName name="Z_3E9E540E_C3F0_4606_98BE_97130B27449A_.wvu.FilterData" localSheetId="0" hidden="1">'ALL Projects'!$B$1:$P$132</definedName>
    <definedName name="Z_3F6232A1_506B_451A_B652_C2E2FFF5A236_.wvu.FilterData" localSheetId="0" hidden="1">'ALL Projects'!$B$1:$P$135</definedName>
    <definedName name="Z_435A0631_7956_4D7B_AE83_E7D18F8D243F_.wvu.FilterData" localSheetId="0" hidden="1">'ALL Projects'!$B$1:$P$140</definedName>
    <definedName name="Z_45B93D13_CEF1_4C33_A77A_FA58E60BCCE1_.wvu.FilterData" localSheetId="0" hidden="1">'ALL Projects'!$B$1:$P$144</definedName>
    <definedName name="Z_49569607_37AD_4A99_A661_B4AB1ACA721A_.wvu.FilterData" localSheetId="0" hidden="1">'ALL Projects'!$B$1:$P$135</definedName>
    <definedName name="Z_4A42C36F_2463_4BD2_9FF9_EE2239CDB553_.wvu.FilterData" localSheetId="0" hidden="1">'ALL Projects'!$B$1:$P$142</definedName>
    <definedName name="Z_4B81409B_20FA_42A2_ACC3_F8C5EBBBEE9F_.wvu.FilterData" localSheetId="0" hidden="1">'ALL Projects'!$B$1:$P$137</definedName>
    <definedName name="Z_4DA80635_1BB7_4334_ABE9_237A1434611D_.wvu.FilterData" localSheetId="0" hidden="1">'ALL Projects'!$B$1:$P$1</definedName>
    <definedName name="Z_4F225C39_EF5D_424F_8429_ACA66279F304_.wvu.FilterData" localSheetId="0" hidden="1">'ALL Projects'!$B$1:$P$135</definedName>
    <definedName name="Z_4FF8FDC8_BCB2_4117_8C1A_5C5F8DFE9E89_.wvu.FilterData" localSheetId="0" hidden="1">'ALL Projects'!$B$1:$P$121</definedName>
    <definedName name="Z_50FA032D_B315_4744_9420_3A36A79A9745_.wvu.FilterData" localSheetId="0" hidden="1">'ALL Projects'!$B$1:$P$135</definedName>
    <definedName name="Z_5160FED6_AFE0_4102_835C_EB0A527E8452_.wvu.FilterData" localSheetId="0" hidden="1">'ALL Projects'!$B$1:$P$1</definedName>
    <definedName name="Z_525E3FFB_24F1_4CEF_AB59_3CE6BF999C0C_.wvu.FilterData" localSheetId="0" hidden="1">'ALL Projects'!$B$1:$P$129</definedName>
    <definedName name="Z_5338305E_9B7C_4B20_82BF_95FB239031AC_.wvu.FilterData" localSheetId="0" hidden="1">'ALL Projects'!$B$1:$P$125</definedName>
    <definedName name="Z_5350F8F1_16ED_4929_86B2_DD2F43DB2CA3_.wvu.FilterData" localSheetId="0" hidden="1">'ALL Projects'!$B$1:$P$129</definedName>
    <definedName name="Z_53F485C1_4AFF_4E00_A634_A82021D38642_.wvu.FilterData" localSheetId="0" hidden="1">'ALL Projects'!$B$1:$P$135</definedName>
    <definedName name="Z_545B1457_E3AD_49FD_BD5E_DD847866BF3B_.wvu.FilterData" localSheetId="0" hidden="1">'ALL Projects'!$B$1:$P$142</definedName>
    <definedName name="Z_549525E5_4C25_41D7_8ECE_A9F2A8D043FA_.wvu.FilterData" localSheetId="0" hidden="1">'ALL Projects'!$B$1:$P$126</definedName>
    <definedName name="Z_55F42AF0_96B4_4083_9714_DAA8B604590B_.wvu.FilterData" localSheetId="0" hidden="1">'ALL Projects'!$B$1:$P$122</definedName>
    <definedName name="Z_56888687_D065_4991_A86D_900BBCB7A111_.wvu.FilterData" localSheetId="0" hidden="1">'ALL Projects'!$B$1:$P$124</definedName>
    <definedName name="Z_5761617C_D9AD_400F_AD57_027656FEF07A_.wvu.FilterData" localSheetId="0" hidden="1">'ALL Projects'!$B$1:$P$141</definedName>
    <definedName name="Z_593D3395_A394_4E61_9464_F4D9CF9927AF_.wvu.FilterData" localSheetId="0" hidden="1">'ALL Projects'!$B$1:$P$135</definedName>
    <definedName name="Z_5985CD26_0912_4AC1_BE31_B7F26B1BD4D9_.wvu.FilterData" localSheetId="0" hidden="1">'ALL Projects'!$B$1:$P$124</definedName>
    <definedName name="Z_59D57827_C216_488E_903D_E4EBC5D6CB83_.wvu.FilterData" localSheetId="0" hidden="1">'ALL Projects'!$B$1:$P$129</definedName>
    <definedName name="Z_5A165CBD_108D_4EFD_8870_071D8B807A41_.wvu.FilterData" localSheetId="0" hidden="1">'ALL Projects'!$B$1:$P$125</definedName>
    <definedName name="Z_5AC30AA2_5960_432D_85BC_B187B125E698_.wvu.FilterData" localSheetId="0" hidden="1">'ALL Projects'!$B$1:$P$129</definedName>
    <definedName name="Z_5B581ED8_5F88_4DD7_97F6_2A37081098C7_.wvu.FilterData" localSheetId="0" hidden="1">'ALL Projects'!$B$1:$P$121</definedName>
    <definedName name="Z_60598B7A_9956_4AF7_BFA4_C4E2EC2FF791_.wvu.FilterData" localSheetId="0" hidden="1">'ALL Projects'!$B$1:$P$144</definedName>
    <definedName name="Z_605A7DFF_CFD0_4B70_AFE3_52CB18C84773_.wvu.FilterData" localSheetId="0" hidden="1">'ALL Projects'!$B$1:$P$132</definedName>
    <definedName name="Z_62E7BB9B_53E1_4337_9F6A_DBFE9226EC18_.wvu.FilterData" localSheetId="0" hidden="1">'ALL Projects'!$B$1:$P$144</definedName>
    <definedName name="Z_6318F686_FBE4_4BB6_852E_9F93B1A171FF_.wvu.FilterData" localSheetId="0" hidden="1">'ALL Projects'!$B$1:$P$137</definedName>
    <definedName name="Z_6449BBEA_246C_4050_AB9B_B853031CEEAD_.wvu.FilterData" localSheetId="0" hidden="1">'ALL Projects'!$B$1:$P$142</definedName>
    <definedName name="Z_66C276B2_14A1_42E8_8809_4D8D9ED8364D_.wvu.FilterData" localSheetId="0" hidden="1">'ALL Projects'!$B$1:$P$132</definedName>
    <definedName name="Z_6956FC36_154A_4791_84DF_ADAD46DA5924_.wvu.FilterData" localSheetId="0" hidden="1">'ALL Projects'!$B$1:$P$1</definedName>
    <definedName name="Z_6B6878B7_D7F9_45FB_997B_EFBBADA8441C_.wvu.FilterData" localSheetId="0" hidden="1">'ALL Projects'!$B$1:$P$135</definedName>
    <definedName name="Z_6C466E0F_191C_4888_B44B_6E395F4C17E2_.wvu.FilterData" localSheetId="0" hidden="1">'ALL Projects'!$B$1:$P$135</definedName>
    <definedName name="Z_6D57EA74_DFF4_447A_A926_DC35B0415F93_.wvu.FilterData" localSheetId="0" hidden="1">'ALL Projects'!$B$1:$P$141</definedName>
    <definedName name="Z_6D7E7974_9E5A_40E1_AD00_4E7D1DF47B4B_.wvu.FilterData" localSheetId="0" hidden="1">'ALL Projects'!$B$1:$P$135</definedName>
    <definedName name="Z_6E9F6B1B_F88E_4537_8FBF_F3E0722ABA10_.wvu.FilterData" localSheetId="0" hidden="1">'ALL Projects'!$B$1:$P$140</definedName>
    <definedName name="Z_6FEB21C6_B718_4638_BE78_CB5ED7620F8C_.wvu.FilterData" localSheetId="0" hidden="1">'ALL Projects'!$B$1:$P$125</definedName>
    <definedName name="Z_71DFB372_3808_4A97_B694_8A42F0BBA3B7_.wvu.FilterData" localSheetId="0" hidden="1">'ALL Projects'!$B$1:$P$135</definedName>
    <definedName name="Z_71E04997_323F_4ABE_8A8D_1A1EA56CB54D_.wvu.FilterData" localSheetId="0" hidden="1">'ALL Projects'!$B$1:$P$129</definedName>
    <definedName name="Z_72F95FA9_AFFF_408B_84D5_C75A1D3CC966_.wvu.FilterData" localSheetId="0" hidden="1">'ALL Projects'!$B$1:$P$144</definedName>
    <definedName name="Z_7318014F_DD8D_4C1C_BC44_9624F6AC80BA_.wvu.FilterData" localSheetId="0" hidden="1">'ALL Projects'!$B$1:$P$142</definedName>
    <definedName name="Z_73B15C88_86CD_43E4_A6F1_A092FE30EB94_.wvu.FilterData" localSheetId="0" hidden="1">'ALL Projects'!$B$1:$P$142</definedName>
    <definedName name="Z_7541FCC4_CCDC_4BA0_B372_9A7BC2EE3448_.wvu.FilterData" localSheetId="0" hidden="1">'ALL Projects'!$B$1:$P$121</definedName>
    <definedName name="Z_757C4B9F_624C_4903_A5A6_D9E4298DA27C_.wvu.FilterData" localSheetId="0" hidden="1">'ALL Projects'!$B$1:$P$129</definedName>
    <definedName name="Z_75AF519C_97AF_451B_8F61_50F1F2AC2870_.wvu.FilterData" localSheetId="0" hidden="1">'ALL Projects'!$B$1:$P$141</definedName>
    <definedName name="Z_75DC90F1_9A33_4736_80DE_C58B8C19925D_.wvu.FilterData" localSheetId="0" hidden="1">'ALL Projects'!$B$1:$P$144</definedName>
    <definedName name="Z_78E10AF1_892D_44CD_B25B_D734A99C412D_.wvu.FilterData" localSheetId="0" hidden="1">'ALL Projects'!$B$1:$P$135</definedName>
    <definedName name="Z_7D4E6A7F_25D1_437B_93E5_018A36C90451_.wvu.FilterData" localSheetId="0" hidden="1">'ALL Projects'!$B$1:$P$130</definedName>
    <definedName name="Z_80DBFE9A_58C5_4F35_B00C_7CF933CD9DA1_.wvu.FilterData" localSheetId="0" hidden="1">'ALL Projects'!$B$1:$P$126</definedName>
    <definedName name="Z_82527622_1E75_4C9A_9EAF_6119B0069ACF_.wvu.FilterData" localSheetId="0" hidden="1">'ALL Projects'!$B$1:$P$1</definedName>
    <definedName name="Z_837D0729_DBB8_4DF9_8B92_728E4D25573E_.wvu.FilterData" localSheetId="0" hidden="1">'ALL Projects'!$B$1:$P$137</definedName>
    <definedName name="Z_862197CC_E5A3_4BEF_94A0_D1B09F13D2FB_.wvu.FilterData" localSheetId="0" hidden="1">'ALL Projects'!$B$1:$P$129</definedName>
    <definedName name="Z_8641CC80_30EE_413F_893F_57B2157E391D_.wvu.FilterData" localSheetId="0" hidden="1">'ALL Projects'!$B$1:$P$129</definedName>
    <definedName name="Z_88ACB2CE_AB7D_4607_BF49_62A179C5BDA7_.wvu.FilterData" localSheetId="0" hidden="1">'ALL Projects'!$B$1:$P$130</definedName>
    <definedName name="Z_88D3BEDF_FD19_4E8B_ADB3_762608DAAE95_.wvu.FilterData" localSheetId="0" hidden="1">'ALL Projects'!$B$1:$P$130</definedName>
    <definedName name="Z_891F1D62_ED3A_42E3_879F_9F58F363CD9C_.wvu.FilterData" localSheetId="0" hidden="1">'ALL Projects'!$B$1:$P$121</definedName>
    <definedName name="Z_8B121AAE_2EFA_45EB_9180_9CC8BD0462DD_.wvu.FilterData" localSheetId="0" hidden="1">'ALL Projects'!$B$1:$P$137</definedName>
    <definedName name="Z_8D4943C6_1D29_484F_81A6_2675B52CA818_.wvu.FilterData" localSheetId="0" hidden="1">'ALL Projects'!$B$1:$P$140</definedName>
    <definedName name="Z_8D7DB2D6_4F29_4740_B247_2A5ED6C966E6_.wvu.FilterData" localSheetId="0" hidden="1">'ALL Projects'!$B$1:$P$132</definedName>
    <definedName name="Z_8E05491B_09BD_48D9_BBD7_C226B30E7EA0_.wvu.FilterData" localSheetId="0" hidden="1">'ALL Projects'!$B$1:$P$126</definedName>
    <definedName name="Z_8E42CFBE_B83F_4D35_B2A4_A4DF26470E12_.wvu.FilterData" localSheetId="0" hidden="1">'ALL Projects'!$B$1:$P$135</definedName>
    <definedName name="Z_8F60585D_B233_43D7_B2D6_BEAC74817B79_.wvu.FilterData" localSheetId="0" hidden="1">'ALL Projects'!$B$1:$P$137</definedName>
    <definedName name="Z_9077A8FF_75CD_4EB0_8DCB_6794D3995DDD_.wvu.FilterData" localSheetId="0" hidden="1">'ALL Projects'!$B$1:$P$140</definedName>
    <definedName name="Z_91DD3FB8_979A_499B_93B3_FA1DD3AC55A7_.wvu.FilterData" localSheetId="0" hidden="1">'ALL Projects'!$B$1:$P$1</definedName>
    <definedName name="Z_93640DF0_8C30_49B3_9AEE_B443879E2D06_.wvu.FilterData" localSheetId="0" hidden="1">'ALL Projects'!$B$1:$P$142</definedName>
    <definedName name="Z_93E384EC_45EC_4D91_91EB_9D2835C116A1_.wvu.FilterData" localSheetId="0" hidden="1">'ALL Projects'!$B$1:$P$126</definedName>
    <definedName name="Z_948D2E33_B086_46ED_A908_ACF03A36FD59_.wvu.FilterData" localSheetId="0" hidden="1">'ALL Projects'!$B$1:$P$129</definedName>
    <definedName name="Z_94BB30AF_B449_47E8_802F_8CD5F154C17C_.wvu.FilterData" localSheetId="0" hidden="1">'ALL Projects'!$B$1:$P$135</definedName>
    <definedName name="Z_95270437_E9F9_4867_8492_D3E59BA822EB_.wvu.FilterData" localSheetId="0" hidden="1">'ALL Projects'!$B$1:$P$129</definedName>
    <definedName name="Z_9590C356_6D88_4237_BFE1_3EC51D201AD1_.wvu.FilterData" localSheetId="0" hidden="1">'ALL Projects'!$B$1:$P$126</definedName>
    <definedName name="Z_95F8C482_4E6D_4EDA_A5EB_89A44AC97A2D_.wvu.FilterData" localSheetId="0" hidden="1">'ALL Projects'!$B$1:$P$141</definedName>
    <definedName name="Z_97DCFA39_F7ED_4C42_B50E_4B128B8EF88D_.wvu.FilterData" localSheetId="0" hidden="1">'ALL Projects'!$B$1:$P$125</definedName>
    <definedName name="Z_9890496E_8291_4A79_8584_7501435E97E8_.wvu.FilterData" localSheetId="0" hidden="1">'ALL Projects'!$B$1:$P$135</definedName>
    <definedName name="Z_98D87194_E030_4584_8C2A_BDD2BDC15F9F_.wvu.FilterData" localSheetId="0" hidden="1">'ALL Projects'!$B$1:$P$140</definedName>
    <definedName name="Z_9A8EA3AC_F50D_4D0A_888D_C0DF807EA7F0_.wvu.FilterData" localSheetId="0" hidden="1">'ALL Projects'!$B$1:$P$142</definedName>
    <definedName name="Z_9AD15E6E_FE5E_4D7A_A432_8C21A3D65C78_.wvu.FilterData" localSheetId="0" hidden="1">'ALL Projects'!$B$1:$P$129</definedName>
    <definedName name="Z_9BC350A2_220D_4A66_90F9_9C098C85C1B8_.wvu.FilterData" localSheetId="0" hidden="1">'ALL Projects'!$B$1:$P$132</definedName>
    <definedName name="Z_9C40DB9B_D760_4DC9_99F0_C9349FAF8B44_.wvu.FilterData" localSheetId="0" hidden="1">'ALL Projects'!$B$1:$P$130</definedName>
    <definedName name="Z_9E076E2C_7493_4447_AF1A_1D294B765C0C_.wvu.FilterData" localSheetId="0" hidden="1">'ALL Projects'!$B$1:$P$144</definedName>
    <definedName name="Z_9EBF48D7_05C2_44DB_A8C0_FD043A49B13A_.wvu.FilterData" localSheetId="0" hidden="1">'ALL Projects'!$B$1:$P$130</definedName>
    <definedName name="Z_9F14C1C0_9E0B_44D3_A655_68381483F79B_.wvu.FilterData" localSheetId="0" hidden="1">'ALL Projects'!$B$1:$P$125</definedName>
    <definedName name="Z_A07542D9_E8A5_416C_8D7C_196D65FF4B85_.wvu.FilterData" localSheetId="0" hidden="1">'ALL Projects'!$B$1:$P$126</definedName>
    <definedName name="Z_A0FFC879_339B_4730_BB49_92E7E55FEB62_.wvu.FilterData" localSheetId="0" hidden="1">'ALL Projects'!$B$1:$P$121</definedName>
    <definedName name="Z_A1D8A9A1_C8AF_4B73_8B1F_138D83B60AFB_.wvu.FilterData" localSheetId="0" hidden="1">'ALL Projects'!$B$1:$P$129</definedName>
    <definedName name="Z_A5C6DAE2_044D_40A1_9C68_919707852EAE_.wvu.FilterData" localSheetId="0" hidden="1">'ALL Projects'!$B$1:$P$132</definedName>
    <definedName name="Z_A750BBD0_69E8_44FD_B503_32B4D8A91E87_.wvu.FilterData" localSheetId="0" hidden="1">'ALL Projects'!$B$1:$P$137</definedName>
    <definedName name="Z_A8E036AB_BB7E_43E1_A74A_87DB9C11E52A_.wvu.FilterData" localSheetId="0" hidden="1">'ALL Projects'!$B$1:$P$142</definedName>
    <definedName name="Z_A9096D88_06C2_465E_8A46_2F050B78421F_.wvu.FilterData" localSheetId="0" hidden="1">'ALL Projects'!$B$1:$P$137</definedName>
    <definedName name="Z_A96AEB1E_6F3A_4D95_960A_4EE3C29371A4_.wvu.FilterData" localSheetId="0" hidden="1">'ALL Projects'!$B$1:$P$129</definedName>
    <definedName name="Z_A9B85F03_066A_4245_B49B_E9CA4631E810_.wvu.FilterData" localSheetId="0" hidden="1">'ALL Projects'!$B$1:$P$121</definedName>
    <definedName name="Z_AA08079F_CF7C_4A03_ABE9_A5EFDA691CA7_.wvu.FilterData" localSheetId="0" hidden="1">'ALL Projects'!$B$1:$P$129</definedName>
    <definedName name="Z_AAA326FB_C78C_4158_9C9C_FD84328F0097_.wvu.FilterData" localSheetId="0" hidden="1">'ALL Projects'!$B$1:$P$129</definedName>
    <definedName name="Z_AADB9CBA_B31C_4EDB_9688_5620E360E378_.wvu.FilterData" localSheetId="0" hidden="1">'ALL Projects'!$B$1:$P$142</definedName>
    <definedName name="Z_AADBAA3C_4A28_4138_8AFD_382151AB0505_.wvu.FilterData" localSheetId="0" hidden="1">'ALL Projects'!$B$1:$P$132</definedName>
    <definedName name="Z_AC78628D_B4FA_4B84_90A6_23DB3B9BAC91_.wvu.FilterData" localSheetId="0" hidden="1">'ALL Projects'!$B$1:$P$140</definedName>
    <definedName name="Z_AE4A3C09_5082_48A1_AFA2_63D57DE0A908_.wvu.FilterData" localSheetId="0" hidden="1">'ALL Projects'!$B$1:$P$126</definedName>
    <definedName name="Z_AEA0C047_E52F_48B8_96AC_88A0A94341F7_.wvu.FilterData" localSheetId="0" hidden="1">'ALL Projects'!$B$1:$P$135</definedName>
    <definedName name="Z_AF0D160A_2B84_4E4B_81B1_6309CF389E4A_.wvu.FilterData" localSheetId="0" hidden="1">'ALL Projects'!$B$1:$P$142</definedName>
    <definedName name="Z_AF7B110B_E3D4_44BE_AD11_94E49A8D38AD_.wvu.FilterData" localSheetId="0" hidden="1">'ALL Projects'!$B$1:$P$124</definedName>
    <definedName name="Z_B0376615_236D_449F_8DEF_EBA641B12446_.wvu.FilterData" localSheetId="0" hidden="1">'ALL Projects'!$B$1:$P$124</definedName>
    <definedName name="Z_B0C47159_7A10_4CD0_9C42_4D9C3E367478_.wvu.FilterData" localSheetId="0" hidden="1">'ALL Projects'!$B$1:$P$142</definedName>
    <definedName name="Z_B10C456E_8D64_40E4_9FA8_DE9ABA0368B4_.wvu.FilterData" localSheetId="0" hidden="1">'ALL Projects'!$B$1:$P$126</definedName>
    <definedName name="Z_B5838348_9160_41D5_A44D_5D77925CB341_.wvu.FilterData" localSheetId="0" hidden="1">'ALL Projects'!$B$1:$P$141</definedName>
    <definedName name="Z_B6958CF4_ACF4_4025_AD0F_A6C0ED46AF11_.wvu.FilterData" localSheetId="0" hidden="1">'ALL Projects'!$B$1:$P$140</definedName>
    <definedName name="Z_B7B7CBC0_31E9_4674_A195_41CF0D64917C_.wvu.FilterData" localSheetId="0" hidden="1">'ALL Projects'!$B$1:$P$132</definedName>
    <definedName name="Z_B7F1DAA9_3711_4731_BDD0_9F37D9259284_.wvu.FilterData" localSheetId="0" hidden="1">'ALL Projects'!$B$1:$P$129</definedName>
    <definedName name="Z_B8285E04_64FA_4C4F_A7DE_D398B7C9F3A7_.wvu.FilterData" localSheetId="0" hidden="1">'ALL Projects'!$B$1:$P$129</definedName>
    <definedName name="Z_B9BA2AAD_0117_40AF_A56E_81E984D385F5_.wvu.FilterData" localSheetId="0" hidden="1">'ALL Projects'!$B$1:$P$141</definedName>
    <definedName name="Z_BAE3C3CB_B371_4A92_A131_C08148683C0B_.wvu.FilterData" localSheetId="0" hidden="1">'ALL Projects'!$B$1:$P$141</definedName>
    <definedName name="Z_BE266E74_56CB_4480_9E49_09F00C174309_.wvu.FilterData" localSheetId="0" hidden="1">'ALL Projects'!$B$1:$P$137</definedName>
    <definedName name="Z_BF13F80A_5AB8_42FD_A584_D87B44463725_.wvu.FilterData" localSheetId="0" hidden="1">'ALL Projects'!$B$1:$P$142</definedName>
    <definedName name="Z_C0DA46A5_2F65_449C_8A46_C806F9239500_.wvu.FilterData" localSheetId="0" hidden="1">'ALL Projects'!$B$1:$P$121</definedName>
    <definedName name="Z_C1801D36_03F4_4D17_991E_6BEBF73E3122_.wvu.FilterData" localSheetId="0" hidden="1">'ALL Projects'!$B$1:$P$135</definedName>
    <definedName name="Z_C236070D_3B16_4F63_ADB3_746DB4887EE3_.wvu.FilterData" localSheetId="0" hidden="1">'ALL Projects'!$B$1:$P$129</definedName>
    <definedName name="Z_C48FEA8F_72AC_47CC_9891_6037238CFEEE_.wvu.FilterData" localSheetId="0" hidden="1">'ALL Projects'!$B$1:$P$121</definedName>
    <definedName name="Z_C4CA1DDF_3AFE_43A6_8BB5_B707D5EB70E1_.wvu.FilterData" localSheetId="0" hidden="1">'ALL Projects'!$B$1:$P$144</definedName>
    <definedName name="Z_C4FD5E33_CFD6_4FFB_89E3_52483DD1D848_.wvu.FilterData" localSheetId="0" hidden="1">'ALL Projects'!$B$1:$P$142</definedName>
    <definedName name="Z_C50ED91D_25E4_46FC_8E07_25A27A03203F_.wvu.FilterData" localSheetId="0" hidden="1">'ALL Projects'!$B$1:$P$144</definedName>
    <definedName name="Z_C51ABB13_B850_43C6_8B59_7E689A15618F_.wvu.FilterData" localSheetId="0" hidden="1">'ALL Projects'!$B$1:$P$141</definedName>
    <definedName name="Z_C79D7E0E_012A_4027_B375_4956AD4B1A25_.wvu.FilterData" localSheetId="0" hidden="1">'ALL Projects'!$B$1:$P$135</definedName>
    <definedName name="Z_C836DC59_11A2_4F6D_A998_3025EF5DC40C_.wvu.FilterData" localSheetId="0" hidden="1">'ALL Projects'!$B$1:$P$142</definedName>
    <definedName name="Z_C90010DD_204B_4454_AE54_9A4219F43F7C_.wvu.FilterData" localSheetId="0" hidden="1">'ALL Projects'!$B$1:$P$121</definedName>
    <definedName name="Z_C97A751A_82FC_4BDA_805D_15C8B4087B6F_.wvu.FilterData" localSheetId="0" hidden="1">'ALL Projects'!$B$1:$P$126</definedName>
    <definedName name="Z_CA339186_E8A1_4F43_AC93_1539F086BC89_.wvu.FilterData" localSheetId="0" hidden="1">'ALL Projects'!$B$1:$P$141</definedName>
    <definedName name="Z_CC2B6447_1D5B_4C9D_AC8B_818768C88D8C_.wvu.FilterData" localSheetId="0" hidden="1">'ALL Projects'!$B$1:$P$142</definedName>
    <definedName name="Z_CC40868A_3EF3_4BB8_913E_BBF04A870908_.wvu.FilterData" localSheetId="0" hidden="1">'ALL Projects'!$B$1:$P$125</definedName>
    <definedName name="Z_CC89D343_B42C_4951_BE2A_7E609A7BC0C1_.wvu.FilterData" localSheetId="0" hidden="1">'ALL Projects'!$B$1:$P$142</definedName>
    <definedName name="Z_CC930C2B_4837_441E_AC13_E0E451A6DDED_.wvu.FilterData" localSheetId="0" hidden="1">'ALL Projects'!$B$1:$P$144</definedName>
    <definedName name="Z_CD127592_C605_4135_B020_51939F29A9A4_.wvu.FilterData" localSheetId="0" hidden="1">'ALL Projects'!$B$1:$P$122</definedName>
    <definedName name="Z_CDD5864C_D6EE_46CA_AFB4_7FEC3C9FDFC4_.wvu.FilterData" localSheetId="0" hidden="1">'ALL Projects'!$B$1:$P$132</definedName>
    <definedName name="Z_CE5B3E4A_B406_4969_97A3_FD2833A3963D_.wvu.FilterData" localSheetId="0" hidden="1">'ALL Projects'!$B$1:$P$140</definedName>
    <definedName name="Z_CE69E132_9875_4522_A3BF_C5882FF4C483_.wvu.FilterData" localSheetId="0" hidden="1">'ALL Projects'!$B$1:$P$141</definedName>
    <definedName name="Z_CF643060_37C8_48E7_A83D_229B2DF81C8C_.wvu.FilterData" localSheetId="0" hidden="1">'ALL Projects'!$B$1:$P$125</definedName>
    <definedName name="Z_D0571DC1_88B4_42B2_A9B6_81209576B534_.wvu.FilterData" localSheetId="0" hidden="1">'ALL Projects'!$B$1:$P$1</definedName>
    <definedName name="Z_D1881AEF_9B23_4248_9F93_AED5361F42C0_.wvu.FilterData" localSheetId="0" hidden="1">'ALL Projects'!$B$1:$P$132</definedName>
    <definedName name="Z_D326D40C_42E6_4D8B_AA89_86D11D55FD47_.wvu.FilterData" localSheetId="0" hidden="1">'ALL Projects'!$B$1:$P$132</definedName>
    <definedName name="Z_D3FBC512_40E9_4DA3_B67A_E2456DB39E9B_.wvu.FilterData" localSheetId="0" hidden="1">'ALL Projects'!$B$1:$P$137</definedName>
    <definedName name="Z_D48DAFD6_C6D3_4279_A5BB_34CC061DB828_.wvu.FilterData" localSheetId="0" hidden="1">'ALL Projects'!$B$1:$P$144</definedName>
    <definedName name="Z_D53A1372_1F2E_4467_8283_F05C4EA31DDE_.wvu.FilterData" localSheetId="0" hidden="1">'ALL Projects'!$B$1:$P$1</definedName>
    <definedName name="Z_D5F7CD12_C578_4F23_B2B5_031F6314202A_.wvu.FilterData" localSheetId="0" hidden="1">'ALL Projects'!$B$1:$P$141</definedName>
    <definedName name="Z_D66E8264_1922_47D9_B649_3D8789465FCE_.wvu.FilterData" localSheetId="0" hidden="1">'ALL Projects'!$B$1:$P$144</definedName>
    <definedName name="Z_D6972DBD_3038_4C77_AE77_5EDAA25B1A8E_.wvu.FilterData" localSheetId="0" hidden="1">'ALL Projects'!$B$1:$P$135</definedName>
    <definedName name="Z_D6E83680_54F1_4FE5_B6EE_ED57F4018690_.wvu.FilterData" localSheetId="0" hidden="1">'ALL Projects'!$B$1:$P$142</definedName>
    <definedName name="Z_D71595EF_72E5_4F72_A3A1_AE12BEF50FFC_.wvu.FilterData" localSheetId="0" hidden="1">'ALL Projects'!$B$1:$P$141</definedName>
    <definedName name="Z_D7EFC94B_CBD9_4774_99D1_75849965754F_.wvu.FilterData" localSheetId="0" hidden="1">'ALL Projects'!$B$1:$P$137</definedName>
    <definedName name="Z_D8C07F1B_85C3_4755_B472_9E49EF2892F3_.wvu.FilterData" localSheetId="0" hidden="1">'ALL Projects'!$B$1:$P$141</definedName>
    <definedName name="Z_D93F4C64_E7A4_4F62_828A_BE4C08C5113F_.wvu.FilterData" localSheetId="0" hidden="1">'ALL Projects'!$B$1:$P$135</definedName>
    <definedName name="Z_D94B7CCD_4AA3_4F35_A1EC_06B789B9F348_.wvu.FilterData" localSheetId="0" hidden="1">'ALL Projects'!$B$1:$P$144</definedName>
    <definedName name="Z_DB0C2A54_7C30_4998_921B_477B289DB286_.wvu.FilterData" localSheetId="0" hidden="1">'ALL Projects'!$B$1:$P$137</definedName>
    <definedName name="Z_DC28ACB2_B5E8_4FBF_B0B6_E5717C5A105D_.wvu.FilterData" localSheetId="0" hidden="1">'ALL Projects'!$B$1:$P$141</definedName>
    <definedName name="Z_DC499C24_673D_41B7_8539_2D48464FEE75_.wvu.FilterData" localSheetId="0" hidden="1">'ALL Projects'!$B$1:$P$144</definedName>
    <definedName name="Z_DC78814D_3DDF_4C0B_B082_CE63C6ECB83F_.wvu.FilterData" localSheetId="0" hidden="1">'ALL Projects'!$B$1:$P$126</definedName>
    <definedName name="Z_DCB71B1C_9009_40FE_A0C9_4D0EFA021D04_.wvu.FilterData" localSheetId="0" hidden="1">'ALL Projects'!$B$1:$P$132</definedName>
    <definedName name="Z_DD5392E3_A805_46B6_B2C6_D500301B559C_.wvu.FilterData" localSheetId="0" hidden="1">'ALL Projects'!$B$1:$P$141</definedName>
    <definedName name="Z_DEEFD975_B3F4_42D5_87A9_1E37B0F2B752_.wvu.FilterData" localSheetId="0" hidden="1">'ALL Projects'!$B$1:$P$142</definedName>
    <definedName name="Z_DFA22961_1AE4_48B0_AB84_26B8156431E8_.wvu.FilterData" localSheetId="0" hidden="1">'ALL Projects'!$B$1:$P$121</definedName>
    <definedName name="Z_DFD88019_15C9_413B_A064_5AFC5FDEE1D6_.wvu.FilterData" localSheetId="0" hidden="1">'ALL Projects'!$B$1:$P$1</definedName>
    <definedName name="Z_E028928D_98FD_41CF_A465_354B89BF9AC5_.wvu.FilterData" localSheetId="0" hidden="1">'ALL Projects'!$B$1:$P$1</definedName>
    <definedName name="Z_E0CE55C6_3427_4270_8CB3_340CDBEC549E_.wvu.FilterData" localSheetId="0" hidden="1">'ALL Projects'!$B$1:$P$135</definedName>
    <definedName name="Z_E1328F06_9192_431A_BBAA_58C2B2C905DF_.wvu.FilterData" localSheetId="0" hidden="1">'ALL Projects'!$B$1:$P$135</definedName>
    <definedName name="Z_E2C38D4C_A246_439C_8E43_A1D322E960FD_.wvu.FilterData" localSheetId="0" hidden="1">'ALL Projects'!$B$1:$P$144</definedName>
    <definedName name="Z_E3249F74_3379_4FAA_993E_25080777D3F8_.wvu.FilterData" localSheetId="0" hidden="1">'ALL Projects'!$B$1:$P$144</definedName>
    <definedName name="Z_E39E5239_809F_4B48_9154_B828934E95AB_.wvu.FilterData" localSheetId="0" hidden="1">'ALL Projects'!$B$1:$P$1</definedName>
    <definedName name="Z_E608BF94_AEE7_4636_AEFC_2992745434A7_.wvu.FilterData" localSheetId="0" hidden="1">'ALL Projects'!$B$1:$P$141</definedName>
    <definedName name="Z_E6C822AF_D175_4390_B5F5_5456BD0A6172_.wvu.FilterData" localSheetId="0" hidden="1">'ALL Projects'!$B$1:$P$137</definedName>
    <definedName name="Z_E6DDB18A_2091_4AA7_9DE3_2834225737DD_.wvu.FilterData" localSheetId="0" hidden="1">'ALL Projects'!$B$1:$P$132</definedName>
    <definedName name="Z_E75CCA72_0313_475E_AB45_50219DCBDEFE_.wvu.FilterData" localSheetId="0" hidden="1">'ALL Projects'!$B$1:$P$122</definedName>
    <definedName name="Z_E796B4F5_F887_4884_A62F_2363CDB4C202_.wvu.FilterData" localSheetId="0" hidden="1">'ALL Projects'!$B$1:$P$141</definedName>
    <definedName name="Z_E8A71C07_35BC_410C_B8FF_F60CE1C03368_.wvu.FilterData" localSheetId="0" hidden="1">'ALL Projects'!$B$1:$P$126</definedName>
    <definedName name="Z_E8ECD6A2_3249_4B77_9CC0_C7ABB78BFF72_.wvu.FilterData" localSheetId="0" hidden="1">'ALL Projects'!$B$1:$P$121</definedName>
    <definedName name="Z_E8FB2624_06EB_42E7_9452_80E9B766A221_.wvu.FilterData" localSheetId="0" hidden="1">'ALL Projects'!$B$1:$P$144</definedName>
    <definedName name="Z_EA741C4D_64A4_4F0A_9126_AF00D199802B_.wvu.FilterData" localSheetId="0" hidden="1">'ALL Projects'!$B$1:$P$142</definedName>
    <definedName name="Z_EC72EDDE_726D_4C94_B8A1_2109AC33C0D8_.wvu.FilterData" localSheetId="0" hidden="1">'ALL Projects'!$B$1:$P$144</definedName>
    <definedName name="Z_F16ACA6D_7948_471C_92B6_5FDB043FEECE_.wvu.FilterData" localSheetId="0" hidden="1">'ALL Projects'!$B$1:$P$142</definedName>
    <definedName name="Z_F38FF503_8F46_420C_B3FA_DAF9FDEB65C9_.wvu.FilterData" localSheetId="0" hidden="1">'ALL Projects'!$B$1:$P$132</definedName>
    <definedName name="Z_F4709B15_CCDD_44B2_99C3_4E792F47126E_.wvu.FilterData" localSheetId="0" hidden="1">'ALL Projects'!$B$1:$P$137</definedName>
    <definedName name="Z_F4A3BFEE_A96A_4A15_B585_9A6CD7EE1CDD_.wvu.FilterData" localSheetId="0" hidden="1">'ALL Projects'!$B$1:$P$129</definedName>
    <definedName name="Z_F52C3EAE_C295_4F40_8810_2CD84EBBFA0D_.wvu.FilterData" localSheetId="0" hidden="1">'ALL Projects'!$B$1:$P$144</definedName>
    <definedName name="Z_F6BC03FB_466A_43DE_A70D_55F5A3BCE94E_.wvu.FilterData" localSheetId="0" hidden="1">'ALL Projects'!$B$1:$P$142</definedName>
    <definedName name="Z_F6C22434_785F_4905_885A_DFD3F4492982_.wvu.FilterData" localSheetId="0" hidden="1">'ALL Projects'!$B$1:$P$142</definedName>
    <definedName name="Z_F82EABEE_CE64_48B2_944B_7C2E4EA279B3_.wvu.FilterData" localSheetId="0" hidden="1">'ALL Projects'!$B$1:$P$130</definedName>
    <definedName name="Z_F8EE715E_B001_45D3_B28F_D857D152DCAC_.wvu.FilterData" localSheetId="0" hidden="1">'ALL Projects'!$B$1:$P$137</definedName>
    <definedName name="Z_F902ABE5_B220_402E_8BBC_30B1E6B245DD_.wvu.FilterData" localSheetId="0" hidden="1">'ALL Projects'!$B$1:$P$141</definedName>
    <definedName name="Z_FA12B4AF_795D_49BA_83ED_154F276EF3AC_.wvu.FilterData" localSheetId="0" hidden="1">'ALL Projects'!$B$1:$P$124</definedName>
    <definedName name="Z_FD546597_4C40_4A5F_B739_9D12439D31B8_.wvu.FilterData" localSheetId="0" hidden="1">'ALL Projects'!$B$1:$P$141</definedName>
    <definedName name="Z_FE5FD488_CCF2_4F73_B8F6_992D1F07E70C_.wvu.FilterData" localSheetId="0" hidden="1">'ALL Projects'!$B$1:$P$1</definedName>
    <definedName name="Z_FEBF9689_4DBE_4A65_B48D_FF0841F23572_.wvu.FilterData" localSheetId="0" hidden="1">'ALL Projects'!$B$1:$P$125</definedName>
  </definedNames>
  <calcPr calcId="191028"/>
  <customWorkbookViews>
    <customWorkbookView name="Stacey Speakman - Personal View" guid="{03AD2AFE-2DDD-4D37-8F9F-D1CAD93AE394}" mergeInterval="0" personalView="1" maximized="1" xWindow="-9" yWindow="-9" windowWidth="1938" windowHeight="1048" tabRatio="885" activeSheetId="2" showComments="commIndAndComment"/>
    <customWorkbookView name="Clare Winter - Personal View" guid="{72F95FA9-AFFF-408B-84D5-C75A1D3CC966}" mergeInterval="0" personalView="1" maximized="1" xWindow="1912" yWindow="-8" windowWidth="1936" windowHeight="1056" tabRatio="601" activeSheetId="2"/>
    <customWorkbookView name="Victoria Moss - Personal View" guid="{D94B7CCD-4AA3-4F35-A1EC-06B789B9F348}" mergeInterval="0" personalView="1" maximized="1" xWindow="-8" yWindow="-8" windowWidth="1382" windowHeight="744" tabRatio="601" activeSheetId="2"/>
    <customWorkbookView name="Sophie Midcalf - Personal View" guid="{E2C38D4C-A246-439C-8E43-A1D322E960FD}" mergeInterval="0" personalView="1" maximized="1" xWindow="2869" yWindow="-11" windowWidth="1942" windowHeight="1498" tabRatio="601" activeSheetId="2"/>
    <customWorkbookView name="Mark Taylor - Personal View" guid="{C4CA1DDF-3AFE-43A6-8BB5-B707D5EB70E1}" mergeInterval="0" personalView="1" maximized="1" xWindow="-8" yWindow="-8" windowWidth="1382" windowHeight="744" tabRatio="397" activeSheetId="2" showComments="commIndAndComment"/>
    <customWorkbookView name="Graham Pearey - Personal View" guid="{75DC90F1-9A33-4736-80DE-C58B8C19925D}" mergeInterval="0" personalView="1" maximized="1" xWindow="-1288" yWindow="-264" windowWidth="1296" windowHeight="1000" tabRatio="601" activeSheetId="2"/>
    <customWorkbookView name="Laura Baxter - Personal View" guid="{C50ED91D-25E4-46FC-8E07-25A27A03203F}" mergeInterval="0" personalView="1" maximized="1" xWindow="-8" yWindow="-8" windowWidth="1382" windowHeight="744" tabRatio="602" activeSheetId="2" showComments="commIndAndComment"/>
    <customWorkbookView name="Emma Richards - Personal View" guid="{B0C47159-7A10-4CD0-9C42-4D9C3E367478}" mergeInterval="0" personalView="1" maximized="1" xWindow="-8" yWindow="-8" windowWidth="1936" windowHeight="1056" tabRatio="601" activeSheetId="3"/>
    <customWorkbookView name="Kate Chapman - Personal View" guid="{93640DF0-8C30-49B3-9AEE-B443879E2D06}" mergeInterval="0" personalView="1" maximized="1" xWindow="-11" yWindow="-11" windowWidth="1942" windowHeight="1042" tabRatio="601" activeSheetId="2" showComments="commIndAndComment"/>
    <customWorkbookView name="Edward Whitaker - Personal View" guid="{2B13F76B-25C3-4174-A739-40F22F721CD1}" mergeInterval="0" personalView="1" maximized="1" xWindow="-11" yWindow="-11" windowWidth="1942" windowHeight="1042" tabRatio="885" activeSheetId="2"/>
    <customWorkbookView name="Patricia Murphy - Personal View" guid="{D3FBC512-40E9-4DA3-B67A-E2456DB39E9B}" mergeInterval="0" personalView="1" maximized="1" xWindow="1358" yWindow="-324" windowWidth="1936" windowHeight="1056" tabRatio="601" activeSheetId="2"/>
    <customWorkbookView name="Martin Simpson - Personal View" guid="{AADBAA3C-4A28-4138-8AFD-382151AB0505}" mergeInterval="0" personalView="1" maximized="1" xWindow="-247" yWindow="-1088" windowWidth="1936" windowHeight="1056" tabRatio="601" activeSheetId="2"/>
    <customWorkbookView name="Rebecca Shenton - Personal View" guid="{111E1D8A-D793-4E39-8420-A0C5178E038A}" mergeInterval="0" personalView="1" maximized="1" xWindow="-8" yWindow="-8" windowWidth="1382" windowHeight="744" tabRatio="595" activeSheetId="2"/>
    <customWorkbookView name="Stephen Greiff - Personal View" guid="{E8A71C07-35BC-410C-B8FF-F60CE1C03368}" mergeInterval="0" personalView="1" maximized="1" xWindow="-8" yWindow="-8" windowWidth="1382" windowHeight="744" tabRatio="601" activeSheetId="2" showComments="commIndAndComment"/>
    <customWorkbookView name="Neil Murray - Personal View" guid="{55F42AF0-96B4-4083-9714-DAA8B604590B}" mergeInterval="0" personalView="1" maximized="1" xWindow="-11" yWindow="-11" windowWidth="1942" windowHeight="1042" tabRatio="601" activeSheetId="2"/>
    <customWorkbookView name="Sarah Richardson3 - Personal View" guid="{20B27D32-34EC-4EC0-A4B9-823D521B0C99}" mergeInterval="0" personalView="1" maximized="1" xWindow="-11" yWindow="-11" windowWidth="1942" windowHeight="1042" tabRatio="601" activeSheetId="1"/>
    <customWorkbookView name="Jayne Kempen - Personal View" guid="{E0C49560-C1A3-492A-97F7-D9BEA3888275}" mergeInterval="0" personalView="1" maximized="1" xWindow="-8" yWindow="-8" windowWidth="1382" windowHeight="744" tabRatio="601" activeSheetId="1"/>
    <customWorkbookView name="Kirsten Dixon - Personal View" guid="{F31CB4C7-49B8-4B51-96A3-3D7BCEB922C8}" mergeInterval="0" personalView="1" maximized="1" xWindow="-8" yWindow="-8" windowWidth="1382" windowHeight="744" tabRatio="601" activeSheetId="1"/>
    <customWorkbookView name="Matt Clothier - Personal View" guid="{4E7C1687-5A35-4DD1-B20F-51D105DE1FED}" mergeInterval="0" personalView="1" maximized="1" xWindow="1272" yWindow="-8" windowWidth="1296" windowHeight="1040" tabRatio="601" activeSheetId="1"/>
    <customWorkbookView name="Kevin Draisey - Personal View" guid="{0A21DEA8-6909-4F08-830F-EF74DC80C874}" mergeInterval="0" personalView="1" maximized="1" xWindow="-11" yWindow="-11" windowWidth="2902" windowHeight="1585" tabRatio="601" activeSheetId="5"/>
    <customWorkbookView name="Chris Dale - Personal View" guid="{4F3B4DDB-32CE-4BFE-B82B-483197854E08}" mergeInterval="0" personalView="1" maximized="1" xWindow="-8" yWindow="-8" windowWidth="1296" windowHeight="696" tabRatio="601" activeSheetId="1"/>
    <customWorkbookView name="Mark Tserkezie - Personal View" guid="{4482D85D-CC79-4C6E-B94E-B8BBA75CEF52}" mergeInterval="0" personalView="1" maximized="1" xWindow="-8" yWindow="-8" windowWidth="1296" windowHeight="1000" tabRatio="601" activeSheetId="1"/>
    <customWorkbookView name="India Landers - Personal View" guid="{DF8495EA-E32E-4153-B030-0E94E1699FB7}" mergeInterval="0" personalView="1" maximized="1" xWindow="1358" yWindow="-8" windowWidth="1296" windowHeight="1040" tabRatio="602" activeSheetId="1"/>
    <customWorkbookView name="Sarah Richardson - Personal View" guid="{EC51B084-D1F0-449A-8776-14BEC225B295}" mergeInterval="0" personalView="1" maximized="1" xWindow="-8" yWindow="-8" windowWidth="1382" windowHeight="744" tabRatio="601" activeSheetId="1"/>
    <customWorkbookView name="Jennifer Holbird - Personal View" guid="{E525FE80-6BEA-42DA-9F11-0BCA78BB6681}" mergeInterval="0" personalView="1" maximized="1" xWindow="-8" yWindow="-8" windowWidth="1296" windowHeight="696" tabRatio="601" activeSheetId="1"/>
    <customWorkbookView name="Tim Wood - Personal View" guid="{D8BCFC48-5B1C-4C63-92F2-E732E73DC553}" mergeInterval="0" personalView="1" maximized="1" xWindow="1272" yWindow="-6" windowWidth="1296" windowHeight="1000" tabRatio="601" activeSheetId="1"/>
    <customWorkbookView name="Alison Dickinson - Personal View" guid="{948D2E33-B086-46ED-A908-ACF03A36FD59}" mergeInterval="0" personalView="1" maximized="1" xWindow="2869" yWindow="-11" windowWidth="2902" windowHeight="1582" tabRatio="601" activeSheetId="2"/>
    <customWorkbookView name="Will Jones - Personal View" guid="{0075AE26-7AAE-449B-B498-05D3C89595DA}" mergeInterval="0" personalView="1" maximized="1" xWindow="-8" yWindow="-8" windowWidth="1936" windowHeight="1056" tabRatio="602" activeSheetId="2"/>
    <customWorkbookView name="Antonia Smith - Personal View" guid="{DC499C24-673D-41B7-8539-2D48464FEE75}" mergeInterval="0" personalView="1" windowWidth="1280" windowHeight="984" tabRatio="885" activeSheetId="2"/>
    <customWorkbookView name="Katie Longstaff - Personal View" guid="{60598B7A-9956-4AF7-BFA4-C4E2EC2FF791}" mergeInterval="0" personalView="1" maximized="1" xWindow="-8" yWindow="-8" windowWidth="1936" windowHeight="1056" tabRatio="601" activeSheetId="2"/>
    <customWorkbookView name="Becky Naisbitt - Personal View" guid="{9E076E2C-7493-4447-AF1A-1D294B765C0C}" mergeInterval="0" personalView="1" maximized="1" xWindow="-8" yWindow="-8" windowWidth="1936" windowHeight="1056" tabRatio="601"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3" i="2" l="1"/>
  <c r="M104" i="2"/>
  <c r="M321" i="2"/>
  <c r="M348" i="2"/>
  <c r="M322" i="2"/>
  <c r="M383" i="2"/>
  <c r="M341" i="2"/>
  <c r="M387" i="2"/>
  <c r="M393" i="2"/>
  <c r="M335" i="2"/>
  <c r="M418" i="2"/>
  <c r="M440" i="2"/>
  <c r="M441" i="2"/>
  <c r="M458" i="2"/>
  <c r="M459" i="2"/>
  <c r="M105" i="2"/>
  <c r="M463" i="2"/>
  <c r="M468" i="2"/>
  <c r="M500" i="2"/>
  <c r="M508" i="2"/>
  <c r="M2" i="2"/>
  <c r="M386" i="2"/>
  <c r="M326" i="2"/>
  <c r="M106" i="2"/>
  <c r="M3" i="2"/>
  <c r="M107" i="2"/>
  <c r="M108" i="2"/>
  <c r="M109" i="2"/>
  <c r="M495" i="2"/>
  <c r="M336" i="2"/>
  <c r="M110" i="2"/>
  <c r="M410" i="2"/>
  <c r="M111" i="2"/>
  <c r="M112" i="2"/>
  <c r="M113" i="2"/>
  <c r="M114" i="2"/>
  <c r="M115" i="2"/>
  <c r="M116" i="2"/>
  <c r="M394" i="2"/>
  <c r="M118" i="2"/>
  <c r="M306" i="2"/>
  <c r="M382" i="2"/>
  <c r="M474" i="2"/>
  <c r="M423" i="2"/>
  <c r="M4" i="2"/>
  <c r="M5" i="2"/>
  <c r="M406" i="2"/>
  <c r="M349" i="2"/>
  <c r="M392" i="2"/>
  <c r="M6" i="2"/>
  <c r="M119" i="2"/>
  <c r="M120" i="2"/>
  <c r="M121" i="2"/>
  <c r="M122" i="2"/>
  <c r="M123" i="2"/>
  <c r="M407" i="2"/>
  <c r="M124" i="2"/>
  <c r="M340" i="2"/>
  <c r="M125" i="2"/>
  <c r="M442" i="2"/>
  <c r="M308" i="2"/>
  <c r="M126" i="2"/>
  <c r="M127" i="2"/>
  <c r="M128" i="2"/>
  <c r="M325" i="2"/>
  <c r="M129" i="2"/>
  <c r="M425" i="2"/>
  <c r="M424" i="2"/>
  <c r="M130" i="2"/>
  <c r="M7" i="2"/>
  <c r="M350" i="2"/>
  <c r="M479" i="2"/>
  <c r="M131" i="2"/>
  <c r="M132" i="2"/>
  <c r="M398" i="2"/>
  <c r="M133" i="2"/>
  <c r="M134" i="2"/>
  <c r="M351" i="2"/>
  <c r="M8" i="2"/>
  <c r="M443" i="2"/>
  <c r="M9" i="2"/>
  <c r="M135" i="2"/>
  <c r="M136" i="2"/>
  <c r="M346" i="2"/>
  <c r="M439" i="2"/>
  <c r="M323" i="2"/>
  <c r="M378" i="2"/>
  <c r="M480" i="2"/>
  <c r="M10" i="2"/>
  <c r="M481" i="2"/>
  <c r="M330" i="2"/>
  <c r="M408" i="2"/>
  <c r="M389" i="2"/>
  <c r="M471" i="2"/>
  <c r="M482" i="2"/>
  <c r="M137" i="2"/>
  <c r="M411" i="2"/>
  <c r="M466" i="2"/>
  <c r="M497" i="2"/>
  <c r="M415" i="2"/>
  <c r="M467" i="2"/>
  <c r="M307" i="2"/>
  <c r="M315" i="2"/>
  <c r="M139" i="2"/>
  <c r="M11" i="2"/>
  <c r="M140" i="2"/>
  <c r="M141" i="2"/>
  <c r="M12" i="2"/>
  <c r="M142" i="2"/>
  <c r="M483" i="2"/>
  <c r="M352" i="2"/>
  <c r="M432" i="2"/>
  <c r="M143" i="2"/>
  <c r="M13" i="2"/>
  <c r="M14" i="2"/>
  <c r="M376" i="2"/>
  <c r="M353" i="2"/>
  <c r="M144" i="2"/>
  <c r="M354" i="2"/>
  <c r="M436" i="2"/>
  <c r="M504" i="2"/>
  <c r="M145" i="2"/>
  <c r="M146" i="2"/>
  <c r="M355" i="2"/>
  <c r="M444" i="2"/>
  <c r="M15" i="2"/>
  <c r="M147" i="2"/>
  <c r="M314" i="2"/>
  <c r="M404" i="2"/>
  <c r="M356" i="2"/>
  <c r="M148" i="2"/>
  <c r="M149" i="2"/>
  <c r="M16" i="2"/>
  <c r="M150" i="2"/>
  <c r="M390" i="2"/>
  <c r="M151" i="2"/>
  <c r="M445" i="2"/>
  <c r="M476" i="2"/>
  <c r="M400" i="2"/>
  <c r="M522" i="2"/>
  <c r="M152" i="2"/>
  <c r="M153" i="2"/>
  <c r="M154" i="2"/>
  <c r="M155" i="2"/>
  <c r="M156" i="2"/>
  <c r="M17" i="2"/>
  <c r="M357" i="2"/>
  <c r="M157" i="2"/>
  <c r="M158" i="2"/>
  <c r="M159" i="2"/>
  <c r="M161" i="2"/>
  <c r="M379" i="2"/>
  <c r="M305" i="2"/>
  <c r="M342" i="2"/>
  <c r="M163" i="2"/>
  <c r="M18" i="2"/>
  <c r="M319" i="2"/>
  <c r="M358" i="2"/>
  <c r="M164" i="2"/>
  <c r="M165" i="2"/>
  <c r="M166" i="2"/>
  <c r="M167" i="2"/>
  <c r="M168" i="2"/>
  <c r="M169" i="2"/>
  <c r="M170" i="2"/>
  <c r="M171" i="2"/>
  <c r="M172" i="2"/>
  <c r="M19" i="2"/>
  <c r="M20" i="2"/>
  <c r="M173" i="2"/>
  <c r="M174" i="2"/>
  <c r="M21" i="2"/>
  <c r="M22" i="2"/>
  <c r="M175" i="2"/>
  <c r="M316" i="2"/>
  <c r="M176" i="2"/>
  <c r="M177" i="2"/>
  <c r="M359" i="2"/>
  <c r="M380" i="2"/>
  <c r="M178" i="2"/>
  <c r="M179" i="2"/>
  <c r="M453" i="2"/>
  <c r="M180" i="2"/>
  <c r="M23" i="2"/>
  <c r="M24" i="2"/>
  <c r="M181" i="2"/>
  <c r="M506" i="2"/>
  <c r="M360" i="2"/>
  <c r="M25" i="2"/>
  <c r="M183" i="2"/>
  <c r="M446" i="2"/>
  <c r="M184" i="2"/>
  <c r="M185" i="2"/>
  <c r="M26" i="2"/>
  <c r="M186" i="2"/>
  <c r="M187" i="2"/>
  <c r="M188" i="2"/>
  <c r="M344" i="2"/>
  <c r="M427" i="2"/>
  <c r="M27" i="2"/>
  <c r="M501" i="2"/>
  <c r="M515" i="2"/>
  <c r="M28" i="2"/>
  <c r="M29" i="2"/>
  <c r="M189" i="2"/>
  <c r="M361" i="2"/>
  <c r="M475" i="2"/>
  <c r="M190" i="2"/>
  <c r="M496" i="2"/>
  <c r="M192" i="2"/>
  <c r="M30" i="2"/>
  <c r="M31" i="2"/>
  <c r="M311" i="2"/>
  <c r="M472" i="2"/>
  <c r="M502" i="2"/>
  <c r="M193" i="2"/>
  <c r="M417" i="2"/>
  <c r="M194" i="2"/>
  <c r="M339" i="2"/>
  <c r="M395" i="2"/>
  <c r="M195" i="2"/>
  <c r="M196" i="2"/>
  <c r="M343" i="2"/>
  <c r="M391" i="2"/>
  <c r="M197" i="2"/>
  <c r="M32" i="2"/>
  <c r="M33" i="2"/>
  <c r="M198" i="2"/>
  <c r="M199" i="2"/>
  <c r="M200" i="2"/>
  <c r="M201" i="2"/>
  <c r="M202" i="2"/>
  <c r="M204" i="2"/>
  <c r="M205" i="2"/>
  <c r="M206" i="2"/>
  <c r="M484" i="2"/>
  <c r="M511" i="2"/>
  <c r="M207" i="2"/>
  <c r="M34" i="2"/>
  <c r="M208" i="2"/>
  <c r="M209" i="2"/>
  <c r="M210" i="2"/>
  <c r="M211" i="2"/>
  <c r="M304" i="2"/>
  <c r="M327" i="2"/>
  <c r="M214" i="2"/>
  <c r="M218" i="2"/>
  <c r="M219" i="2"/>
  <c r="M220" i="2"/>
  <c r="M35" i="2"/>
  <c r="M221" i="2"/>
  <c r="M505" i="2"/>
  <c r="M517" i="2"/>
  <c r="M384" i="2"/>
  <c r="M492" i="2"/>
  <c r="M222" i="2"/>
  <c r="M36" i="2"/>
  <c r="M223" i="2"/>
  <c r="M224" i="2"/>
  <c r="M37" i="2"/>
  <c r="M38" i="2"/>
  <c r="M512" i="2"/>
  <c r="M227" i="2"/>
  <c r="M228" i="2"/>
  <c r="M39" i="2"/>
  <c r="M40" i="2"/>
  <c r="M229" i="2"/>
  <c r="M43" i="2"/>
  <c r="M44" i="2"/>
  <c r="M45" i="2"/>
  <c r="M46" i="2"/>
  <c r="M47" i="2"/>
  <c r="M48" i="2"/>
  <c r="M230" i="2"/>
  <c r="M49" i="2"/>
  <c r="M231" i="2"/>
  <c r="M385" i="2"/>
  <c r="M50" i="2"/>
  <c r="M51" i="2"/>
  <c r="M52" i="2"/>
  <c r="M232" i="2"/>
  <c r="M53" i="2"/>
  <c r="M362" i="2"/>
  <c r="M54" i="2"/>
  <c r="M55" i="2"/>
  <c r="M233" i="2"/>
  <c r="M363" i="2"/>
  <c r="M56" i="2"/>
  <c r="M461" i="2"/>
  <c r="M509" i="2"/>
  <c r="M519" i="2"/>
  <c r="M521" i="2"/>
  <c r="M235" i="2"/>
  <c r="M57" i="2"/>
  <c r="M58" i="2"/>
  <c r="M59" i="2"/>
  <c r="M60" i="2"/>
  <c r="M237" i="2"/>
  <c r="M428" i="2"/>
  <c r="M238" i="2"/>
  <c r="M239" i="2"/>
  <c r="M416" i="2"/>
  <c r="M240" i="2"/>
  <c r="M241" i="2"/>
  <c r="M242" i="2"/>
  <c r="M61" i="2"/>
  <c r="M313" i="2"/>
  <c r="M243" i="2"/>
  <c r="M244" i="2"/>
  <c r="M62" i="2"/>
  <c r="M245" i="2"/>
  <c r="M246" i="2"/>
  <c r="M63" i="2"/>
  <c r="M248" i="2"/>
  <c r="M249" i="2"/>
  <c r="M64" i="2"/>
  <c r="M250" i="2"/>
  <c r="M381" i="2"/>
  <c r="M455" i="2"/>
  <c r="M491" i="2"/>
  <c r="M507" i="2"/>
  <c r="M251" i="2"/>
  <c r="M252" i="2"/>
  <c r="M253" i="2"/>
  <c r="M364" i="2"/>
  <c r="M65" i="2"/>
  <c r="M66" i="2"/>
  <c r="M254" i="2"/>
  <c r="M255" i="2"/>
  <c r="M256" i="2"/>
  <c r="M257" i="2"/>
  <c r="M412" i="2"/>
  <c r="M258" i="2"/>
  <c r="M259" i="2"/>
  <c r="M260" i="2"/>
  <c r="M261" i="2"/>
  <c r="M262" i="2"/>
  <c r="M263" i="2"/>
  <c r="M365" i="2"/>
  <c r="M67" i="2"/>
  <c r="M68" i="2"/>
  <c r="M69" i="2"/>
  <c r="M70" i="2"/>
  <c r="M266" i="2"/>
  <c r="M421" i="2"/>
  <c r="M71" i="2"/>
  <c r="M268" i="2"/>
  <c r="M269" i="2"/>
  <c r="M270" i="2"/>
  <c r="M271" i="2"/>
  <c r="M72" i="2"/>
  <c r="M73" i="2"/>
  <c r="M454" i="2"/>
  <c r="M74" i="2"/>
  <c r="M334" i="2"/>
  <c r="M309" i="2"/>
  <c r="M401" i="2"/>
  <c r="M366" i="2"/>
  <c r="M447" i="2"/>
  <c r="M367" i="2"/>
  <c r="M75" i="2"/>
  <c r="M396" i="2"/>
  <c r="M272" i="2"/>
  <c r="M273" i="2"/>
  <c r="M76" i="2"/>
  <c r="M338" i="2"/>
  <c r="M77" i="2"/>
  <c r="M274" i="2"/>
  <c r="M310" i="2"/>
  <c r="M78" i="2"/>
  <c r="M79" i="2"/>
  <c r="M80" i="2"/>
  <c r="M331" i="2"/>
  <c r="M275" i="2"/>
  <c r="M81" i="2"/>
  <c r="M82" i="2"/>
  <c r="M320" i="2"/>
  <c r="M324" i="2"/>
  <c r="M83" i="2"/>
  <c r="M317" i="2"/>
  <c r="M84" i="2"/>
  <c r="M276" i="2"/>
  <c r="M277" i="2"/>
  <c r="M278" i="2"/>
  <c r="M279" i="2"/>
  <c r="M280" i="2"/>
  <c r="M85" i="2"/>
  <c r="M433" i="2"/>
  <c r="M281" i="2"/>
  <c r="M282" i="2"/>
  <c r="M283" i="2"/>
  <c r="M86" i="2"/>
  <c r="M87" i="2"/>
  <c r="M409" i="2"/>
  <c r="M368" i="2"/>
  <c r="M88" i="2"/>
  <c r="M369" i="2"/>
  <c r="M370" i="2"/>
  <c r="M371" i="2"/>
  <c r="M89" i="2"/>
  <c r="M284" i="2"/>
  <c r="M337" i="2"/>
  <c r="M285" i="2"/>
  <c r="M286" i="2"/>
  <c r="M287" i="2"/>
  <c r="M288" i="2"/>
  <c r="M289" i="2"/>
  <c r="M290" i="2"/>
  <c r="M377" i="2"/>
  <c r="M347" i="2"/>
  <c r="M318" i="2"/>
  <c r="M332" i="2"/>
  <c r="M312" i="2"/>
  <c r="M372" i="2"/>
  <c r="M373" i="2"/>
  <c r="M90" i="2"/>
  <c r="M91" i="2"/>
  <c r="M92" i="2"/>
  <c r="M93" i="2"/>
  <c r="M94" i="2"/>
  <c r="M328" i="2"/>
  <c r="M329" i="2"/>
  <c r="M374" i="2"/>
  <c r="M95" i="2"/>
  <c r="M388" i="2"/>
  <c r="M96" i="2"/>
  <c r="M291" i="2"/>
  <c r="M292" i="2"/>
  <c r="M397" i="2"/>
  <c r="M293" i="2"/>
  <c r="M294" i="2"/>
  <c r="M345" i="2"/>
  <c r="M375" i="2"/>
  <c r="M402" i="2"/>
  <c r="M97" i="2"/>
  <c r="M413" i="2"/>
  <c r="M414" i="2"/>
  <c r="M399" i="2"/>
  <c r="M419" i="2"/>
  <c r="M420" i="2"/>
  <c r="M422" i="2"/>
  <c r="M405" i="2"/>
  <c r="M426" i="2"/>
  <c r="M430" i="2"/>
  <c r="M437" i="2"/>
  <c r="M431" i="2"/>
  <c r="M429" i="2"/>
  <c r="M98" i="2"/>
  <c r="M99" i="2"/>
  <c r="M434" i="2"/>
  <c r="M295" i="2"/>
  <c r="M448" i="2"/>
  <c r="M449" i="2"/>
  <c r="M450" i="2"/>
  <c r="M438" i="2"/>
  <c r="M456" i="2"/>
  <c r="M469" i="2"/>
  <c r="M457" i="2"/>
  <c r="M296" i="2"/>
  <c r="M403" i="2"/>
  <c r="M494" i="2"/>
  <c r="M435" i="2"/>
  <c r="M297" i="2"/>
  <c r="M298" i="2"/>
  <c r="M299" i="2"/>
  <c r="M462" i="2"/>
  <c r="M464" i="2"/>
  <c r="M300" i="2"/>
  <c r="M465" i="2"/>
  <c r="M451" i="2"/>
  <c r="M100" i="2"/>
  <c r="M470" i="2"/>
  <c r="M473" i="2"/>
  <c r="M301" i="2"/>
  <c r="M460" i="2"/>
  <c r="M477" i="2"/>
  <c r="M478" i="2"/>
  <c r="M485" i="2"/>
  <c r="M489" i="2"/>
  <c r="M486" i="2"/>
  <c r="M493" i="2"/>
  <c r="M488" i="2"/>
  <c r="M490" i="2"/>
  <c r="M499" i="2"/>
  <c r="M498" i="2"/>
  <c r="M510" i="2"/>
  <c r="M513" i="2"/>
  <c r="M514" i="2"/>
  <c r="M518" i="2"/>
  <c r="M520" i="2"/>
  <c r="M516" i="2"/>
  <c r="M452" i="2"/>
  <c r="M101" i="2"/>
  <c r="M102" i="2"/>
  <c r="M333" i="2"/>
  <c r="M302" i="2"/>
  <c r="M303" i="2"/>
  <c r="M503" i="2"/>
  <c r="M487" i="2"/>
  <c r="C17" i="8" l="1"/>
  <c r="L162" i="2"/>
  <c r="M162" i="2" s="1"/>
  <c r="B11" i="8"/>
  <c r="B12" i="8"/>
  <c r="B13" i="8"/>
  <c r="B14" i="8"/>
  <c r="D14" i="8" s="1"/>
  <c r="C14" i="8"/>
  <c r="B15" i="8"/>
  <c r="D15" i="8" s="1"/>
  <c r="C15" i="8"/>
  <c r="F15" i="8" s="1"/>
  <c r="G15" i="8" s="1"/>
  <c r="H15" i="8" s="1"/>
  <c r="B16" i="8"/>
  <c r="B17" i="8"/>
  <c r="B18" i="8"/>
  <c r="B19" i="8"/>
  <c r="B20" i="8"/>
  <c r="B21" i="8"/>
  <c r="B22" i="8"/>
  <c r="D22" i="8" s="1"/>
  <c r="C22" i="8"/>
  <c r="B23" i="8"/>
  <c r="B24" i="8"/>
  <c r="D24" i="8" s="1"/>
  <c r="C24" i="8"/>
  <c r="F24" i="8" s="1"/>
  <c r="B25" i="8"/>
  <c r="D25" i="8" s="1"/>
  <c r="C25" i="8"/>
  <c r="B26" i="8"/>
  <c r="B27" i="8"/>
  <c r="B28" i="8"/>
  <c r="B29" i="8"/>
  <c r="I22" i="8"/>
  <c r="I24" i="8"/>
  <c r="I25" i="8"/>
  <c r="I10" i="8"/>
  <c r="I14" i="8"/>
  <c r="I15" i="8"/>
  <c r="D17" i="8" l="1"/>
  <c r="I28" i="8"/>
  <c r="I12" i="8"/>
  <c r="I13" i="8"/>
  <c r="I17" i="8"/>
  <c r="I20" i="8"/>
  <c r="C26" i="8"/>
  <c r="I27" i="8"/>
  <c r="I18" i="8"/>
  <c r="C27" i="8"/>
  <c r="I19" i="8"/>
  <c r="C20" i="8"/>
  <c r="C28" i="8"/>
  <c r="C18" i="8"/>
  <c r="I16" i="8"/>
  <c r="I23" i="8"/>
  <c r="C13" i="8"/>
  <c r="I26" i="8"/>
  <c r="I9" i="8"/>
  <c r="C21" i="8"/>
  <c r="C29" i="8"/>
  <c r="I29" i="8"/>
  <c r="I21" i="8"/>
  <c r="C12" i="8"/>
  <c r="D12" i="8" s="1"/>
  <c r="C16" i="8"/>
  <c r="C23" i="8"/>
  <c r="I11" i="8"/>
  <c r="C19" i="8"/>
  <c r="D19" i="8" s="1"/>
  <c r="F17" i="8"/>
  <c r="G17" i="8" s="1"/>
  <c r="F14" i="8"/>
  <c r="F25" i="8"/>
  <c r="F22" i="8"/>
  <c r="G22" i="8" s="1"/>
  <c r="H22" i="8" s="1"/>
  <c r="G24" i="8"/>
  <c r="H24" i="8" s="1"/>
  <c r="C11" i="8"/>
  <c r="D11" i="8" s="1"/>
  <c r="B9" i="8"/>
  <c r="B10" i="8"/>
  <c r="D10" i="8" s="1"/>
  <c r="C46" i="8"/>
  <c r="B46" i="8"/>
  <c r="D46" i="8" s="1"/>
  <c r="C45" i="8"/>
  <c r="B45" i="8"/>
  <c r="G44" i="8"/>
  <c r="F44" i="8"/>
  <c r="C44" i="8"/>
  <c r="B44" i="8"/>
  <c r="G43" i="8"/>
  <c r="F43" i="8"/>
  <c r="C43" i="8"/>
  <c r="B43" i="8"/>
  <c r="D43" i="8" s="1"/>
  <c r="B39" i="8"/>
  <c r="B38" i="8"/>
  <c r="B37" i="8"/>
  <c r="B36" i="8"/>
  <c r="B35" i="8"/>
  <c r="I34" i="8"/>
  <c r="C34" i="8"/>
  <c r="B34" i="8"/>
  <c r="B33" i="8"/>
  <c r="B32" i="8"/>
  <c r="B8" i="8"/>
  <c r="B7" i="8"/>
  <c r="D7" i="8" s="1"/>
  <c r="B6" i="8"/>
  <c r="B5" i="8"/>
  <c r="L226" i="2"/>
  <c r="M226" i="2" s="1"/>
  <c r="R1444" i="10"/>
  <c r="P1448" i="10"/>
  <c r="R1489" i="10"/>
  <c r="N1430" i="10"/>
  <c r="N1431" i="10"/>
  <c r="N1432" i="10"/>
  <c r="R1432" i="10"/>
  <c r="N1433" i="10"/>
  <c r="N1434" i="10"/>
  <c r="N1435" i="10"/>
  <c r="N1436" i="10"/>
  <c r="N1437" i="10"/>
  <c r="R1437" i="10"/>
  <c r="N1439" i="10"/>
  <c r="N1440" i="10"/>
  <c r="N1426" i="10"/>
  <c r="M1426" i="10" s="1"/>
  <c r="L1427" i="10"/>
  <c r="N1427" i="10" s="1"/>
  <c r="M1427" i="10" s="1"/>
  <c r="L1424" i="10"/>
  <c r="N1424" i="10" s="1"/>
  <c r="M1424" i="10" s="1"/>
  <c r="L1425" i="10"/>
  <c r="N1425" i="10" s="1"/>
  <c r="M1425" i="10" s="1"/>
  <c r="M1415" i="10"/>
  <c r="N1415" i="10"/>
  <c r="M1416" i="10"/>
  <c r="N1416" i="10"/>
  <c r="M1417" i="10"/>
  <c r="N1417" i="10"/>
  <c r="M1418" i="10"/>
  <c r="N1418" i="10"/>
  <c r="M1419" i="10"/>
  <c r="N1419" i="10"/>
  <c r="M1420" i="10"/>
  <c r="N1420" i="10"/>
  <c r="M1421" i="10"/>
  <c r="N1421" i="10"/>
  <c r="M1422" i="10"/>
  <c r="N1422" i="10"/>
  <c r="L1414" i="10"/>
  <c r="N1413" i="10"/>
  <c r="N1409" i="10"/>
  <c r="N1397" i="10"/>
  <c r="N1398" i="10"/>
  <c r="N1399" i="10"/>
  <c r="N1400" i="10"/>
  <c r="N1401" i="10"/>
  <c r="N1402" i="10"/>
  <c r="N1403" i="10"/>
  <c r="N1404" i="10"/>
  <c r="N1405" i="10"/>
  <c r="N1406" i="10"/>
  <c r="N1407" i="10"/>
  <c r="N1408" i="10"/>
  <c r="N1391" i="10"/>
  <c r="N1392" i="10"/>
  <c r="N1393" i="10"/>
  <c r="N1394" i="10"/>
  <c r="N1395" i="10"/>
  <c r="N1381" i="10"/>
  <c r="M1381" i="10" s="1"/>
  <c r="N1370" i="10"/>
  <c r="L1368" i="10"/>
  <c r="L1367" i="10"/>
  <c r="N1367" i="10" s="1"/>
  <c r="M1367" i="10" s="1"/>
  <c r="N1366" i="10"/>
  <c r="M1366" i="10" s="1"/>
  <c r="R1363" i="10"/>
  <c r="N1363" i="10"/>
  <c r="M1363" i="10" s="1"/>
  <c r="N1362" i="10"/>
  <c r="M1362" i="10"/>
  <c r="N1361" i="10"/>
  <c r="M1361" i="10"/>
  <c r="N1360" i="10"/>
  <c r="N1359" i="10"/>
  <c r="M1359" i="10" s="1"/>
  <c r="N1358" i="10"/>
  <c r="M1358" i="10"/>
  <c r="N1356" i="10"/>
  <c r="M1356" i="10" s="1"/>
  <c r="N1353" i="10"/>
  <c r="M1353" i="10" s="1"/>
  <c r="N1352" i="10"/>
  <c r="M1352" i="10" s="1"/>
  <c r="N1348" i="10"/>
  <c r="M1348" i="10" s="1"/>
  <c r="N1347" i="10"/>
  <c r="M1347" i="10"/>
  <c r="N1346" i="10"/>
  <c r="M1346" i="10" s="1"/>
  <c r="N1345" i="10"/>
  <c r="M1345" i="10" s="1"/>
  <c r="N1344" i="10"/>
  <c r="M1344" i="10"/>
  <c r="N1343" i="10"/>
  <c r="M1341" i="10"/>
  <c r="N1340" i="10"/>
  <c r="M1340" i="10"/>
  <c r="N1336" i="10"/>
  <c r="M1336" i="10" s="1"/>
  <c r="N1335" i="10"/>
  <c r="M1335" i="10" s="1"/>
  <c r="L1334" i="10"/>
  <c r="N1334" i="10" s="1"/>
  <c r="M1334" i="10" s="1"/>
  <c r="M1333" i="10"/>
  <c r="N1332" i="10"/>
  <c r="M1332" i="10"/>
  <c r="N1331" i="10"/>
  <c r="M1331" i="10" s="1"/>
  <c r="L1330" i="10"/>
  <c r="N1330" i="10" s="1"/>
  <c r="M1330" i="10" s="1"/>
  <c r="N1329" i="10"/>
  <c r="M1329" i="10" s="1"/>
  <c r="M1327" i="10"/>
  <c r="L1327" i="10"/>
  <c r="N1326" i="10"/>
  <c r="M1326" i="10" s="1"/>
  <c r="N1323" i="10"/>
  <c r="M1323" i="10"/>
  <c r="N1322" i="10"/>
  <c r="N1321" i="10"/>
  <c r="M1321" i="10"/>
  <c r="L1320" i="10"/>
  <c r="N1320" i="10" s="1"/>
  <c r="M1320" i="10" s="1"/>
  <c r="L1319" i="10"/>
  <c r="N1319" i="10" s="1"/>
  <c r="N1317" i="10"/>
  <c r="M1317" i="10" s="1"/>
  <c r="L1315" i="10"/>
  <c r="N1315" i="10" s="1"/>
  <c r="M1315" i="10" s="1"/>
  <c r="N1314" i="10"/>
  <c r="M1314" i="10"/>
  <c r="N1313" i="10"/>
  <c r="M1313" i="10" s="1"/>
  <c r="N1312" i="10"/>
  <c r="M1312" i="10"/>
  <c r="L1309" i="10"/>
  <c r="N1309" i="10" s="1"/>
  <c r="R1308" i="10"/>
  <c r="N1308" i="10"/>
  <c r="M1308" i="10"/>
  <c r="N1307" i="10"/>
  <c r="M1307" i="10" s="1"/>
  <c r="L1306" i="10"/>
  <c r="N1306" i="10" s="1"/>
  <c r="N1305" i="10"/>
  <c r="M1305" i="10" s="1"/>
  <c r="L1304" i="10"/>
  <c r="L1303" i="10"/>
  <c r="N1303" i="10" s="1"/>
  <c r="N1302" i="10"/>
  <c r="M1302" i="10"/>
  <c r="L1301" i="10"/>
  <c r="L1300" i="10"/>
  <c r="N1300" i="10" s="1"/>
  <c r="M1300" i="10" s="1"/>
  <c r="L1299" i="10"/>
  <c r="N1299" i="10" s="1"/>
  <c r="M1299" i="10" s="1"/>
  <c r="L1298" i="10"/>
  <c r="N1298" i="10" s="1"/>
  <c r="M1298" i="10" s="1"/>
  <c r="N1296" i="10"/>
  <c r="M1296" i="10"/>
  <c r="N1293" i="10"/>
  <c r="N1292" i="10"/>
  <c r="M1292" i="10"/>
  <c r="N1291" i="10"/>
  <c r="M1291" i="10"/>
  <c r="N1288" i="10"/>
  <c r="M1288" i="10" s="1"/>
  <c r="N1287" i="10"/>
  <c r="N1286" i="10"/>
  <c r="N1285" i="10"/>
  <c r="M1285" i="10" s="1"/>
  <c r="N1284" i="10"/>
  <c r="N1283" i="10"/>
  <c r="N1282" i="10"/>
  <c r="M1282" i="10"/>
  <c r="N1280" i="10"/>
  <c r="M1280" i="10"/>
  <c r="L1279" i="10"/>
  <c r="N1279" i="10" s="1"/>
  <c r="M1279" i="10" s="1"/>
  <c r="L1278" i="10"/>
  <c r="N1278" i="10" s="1"/>
  <c r="M1278" i="10" s="1"/>
  <c r="M1275" i="10"/>
  <c r="L1275" i="10"/>
  <c r="M1274" i="10"/>
  <c r="L1274" i="10"/>
  <c r="M1273" i="10"/>
  <c r="L1273" i="10"/>
  <c r="L1272" i="10"/>
  <c r="N1272" i="10" s="1"/>
  <c r="M1272" i="10" s="1"/>
  <c r="N1271" i="10"/>
  <c r="M1271" i="10"/>
  <c r="N1270" i="10"/>
  <c r="M1270" i="10" s="1"/>
  <c r="L1269" i="10"/>
  <c r="N1269" i="10" s="1"/>
  <c r="L1268" i="10"/>
  <c r="N1268" i="10" s="1"/>
  <c r="L1267" i="10"/>
  <c r="N1267" i="10" s="1"/>
  <c r="M1267" i="10" s="1"/>
  <c r="L1266" i="10"/>
  <c r="N1266" i="10" s="1"/>
  <c r="M1266" i="10" s="1"/>
  <c r="N1265" i="10"/>
  <c r="M1265" i="10"/>
  <c r="N1264" i="10"/>
  <c r="M1264" i="10"/>
  <c r="L1263" i="10"/>
  <c r="N1263" i="10" s="1"/>
  <c r="M1263" i="10" s="1"/>
  <c r="N1262" i="10"/>
  <c r="M1262" i="10" s="1"/>
  <c r="N1261" i="10"/>
  <c r="M1261" i="10" s="1"/>
  <c r="L1259" i="10"/>
  <c r="N1259" i="10" s="1"/>
  <c r="M1259" i="10" s="1"/>
  <c r="L1257" i="10"/>
  <c r="N1257" i="10" s="1"/>
  <c r="M1257" i="10" s="1"/>
  <c r="N1256" i="10"/>
  <c r="M1256" i="10"/>
  <c r="N1253" i="10"/>
  <c r="M1253" i="10"/>
  <c r="R1252" i="10"/>
  <c r="N1252" i="10"/>
  <c r="M1252" i="10" s="1"/>
  <c r="N1251" i="10"/>
  <c r="M1251" i="10" s="1"/>
  <c r="N1250" i="10"/>
  <c r="M1250" i="10" s="1"/>
  <c r="N1249" i="10"/>
  <c r="M1249" i="10"/>
  <c r="N1248" i="10"/>
  <c r="M1248" i="10" s="1"/>
  <c r="L1247" i="10"/>
  <c r="N1247" i="10" s="1"/>
  <c r="M1247" i="10" s="1"/>
  <c r="N1246" i="10"/>
  <c r="M1246" i="10"/>
  <c r="N1245" i="10"/>
  <c r="M1245" i="10"/>
  <c r="N1244" i="10"/>
  <c r="M1244" i="10"/>
  <c r="N1243" i="10"/>
  <c r="M1243" i="10" s="1"/>
  <c r="N1242" i="10"/>
  <c r="M1242" i="10" s="1"/>
  <c r="N1241" i="10"/>
  <c r="M1241" i="10"/>
  <c r="L1240" i="10"/>
  <c r="N1240" i="10" s="1"/>
  <c r="M1240" i="10" s="1"/>
  <c r="L1239" i="10"/>
  <c r="N1239" i="10" s="1"/>
  <c r="M1239" i="10" s="1"/>
  <c r="N1238" i="10"/>
  <c r="M1238" i="10"/>
  <c r="L1237" i="10"/>
  <c r="N1237" i="10" s="1"/>
  <c r="M1237" i="10" s="1"/>
  <c r="L1236" i="10"/>
  <c r="N1236" i="10" s="1"/>
  <c r="M1236" i="10" s="1"/>
  <c r="L1235" i="10"/>
  <c r="N1235" i="10" s="1"/>
  <c r="M1235" i="10" s="1"/>
  <c r="N1234" i="10"/>
  <c r="M1234" i="10"/>
  <c r="N1233" i="10"/>
  <c r="M1233" i="10" s="1"/>
  <c r="N1232" i="10"/>
  <c r="M1232" i="10"/>
  <c r="N1231" i="10"/>
  <c r="M1231" i="10" s="1"/>
  <c r="N1230" i="10"/>
  <c r="M1230" i="10"/>
  <c r="N1229" i="10"/>
  <c r="M1229" i="10" s="1"/>
  <c r="L1228" i="10"/>
  <c r="N1228" i="10" s="1"/>
  <c r="M1228" i="10" s="1"/>
  <c r="N1227" i="10"/>
  <c r="M1227" i="10" s="1"/>
  <c r="N1226" i="10"/>
  <c r="M1226" i="10"/>
  <c r="N1225" i="10"/>
  <c r="M1225" i="10"/>
  <c r="N1224" i="10"/>
  <c r="M1224" i="10"/>
  <c r="O1222" i="10"/>
  <c r="N1218" i="10"/>
  <c r="M1218" i="10"/>
  <c r="N1217" i="10"/>
  <c r="M1217" i="10"/>
  <c r="N1216" i="10"/>
  <c r="M1216" i="10"/>
  <c r="N1215" i="10"/>
  <c r="M1215" i="10" s="1"/>
  <c r="N1214" i="10"/>
  <c r="M1214" i="10" s="1"/>
  <c r="N1213" i="10"/>
  <c r="M1213" i="10" s="1"/>
  <c r="N1212" i="10"/>
  <c r="M1212" i="10"/>
  <c r="N1211" i="10"/>
  <c r="M1211" i="10" s="1"/>
  <c r="N1210" i="10"/>
  <c r="M1210" i="10"/>
  <c r="N1209" i="10"/>
  <c r="M1209" i="10" s="1"/>
  <c r="N1208" i="10"/>
  <c r="N1207" i="10"/>
  <c r="N1206" i="10"/>
  <c r="M1206" i="10" s="1"/>
  <c r="N1205" i="10"/>
  <c r="M1205" i="10"/>
  <c r="N1204" i="10"/>
  <c r="L1203" i="10"/>
  <c r="N1203" i="10" s="1"/>
  <c r="M1203" i="10" s="1"/>
  <c r="L1200" i="10"/>
  <c r="L1199" i="10"/>
  <c r="L1198" i="10"/>
  <c r="L1197" i="10"/>
  <c r="N1197" i="10" s="1"/>
  <c r="M1197" i="10" s="1"/>
  <c r="N1196" i="10"/>
  <c r="M1196" i="10" s="1"/>
  <c r="N1195" i="10"/>
  <c r="M1195" i="10" s="1"/>
  <c r="N1194" i="10"/>
  <c r="M1194" i="10"/>
  <c r="N1193" i="10"/>
  <c r="M1193" i="10"/>
  <c r="N1192" i="10"/>
  <c r="M1192" i="10"/>
  <c r="N1191" i="10"/>
  <c r="M1191" i="10" s="1"/>
  <c r="N1190" i="10"/>
  <c r="M1190" i="10" s="1"/>
  <c r="N1189" i="10"/>
  <c r="M1189" i="10" s="1"/>
  <c r="N1188" i="10"/>
  <c r="M1188" i="10"/>
  <c r="N1187" i="10"/>
  <c r="M1187" i="10"/>
  <c r="L1186" i="10"/>
  <c r="N1186" i="10" s="1"/>
  <c r="N1185" i="10"/>
  <c r="M1185" i="10"/>
  <c r="L1184" i="10"/>
  <c r="N1184" i="10" s="1"/>
  <c r="M1184" i="10" s="1"/>
  <c r="N1181" i="10"/>
  <c r="M1181" i="10" s="1"/>
  <c r="N1180" i="10"/>
  <c r="M1180" i="10" s="1"/>
  <c r="N1179" i="10"/>
  <c r="M1179" i="10" s="1"/>
  <c r="N1178" i="10"/>
  <c r="R1177" i="10"/>
  <c r="N1177" i="10"/>
  <c r="M1177" i="10"/>
  <c r="N1176" i="10"/>
  <c r="M1176" i="10" s="1"/>
  <c r="N1175" i="10"/>
  <c r="M1175" i="10"/>
  <c r="N1174" i="10"/>
  <c r="M1174" i="10" s="1"/>
  <c r="N1173" i="10"/>
  <c r="M1173" i="10" s="1"/>
  <c r="N1172" i="10"/>
  <c r="M1172" i="10"/>
  <c r="R1171" i="10"/>
  <c r="N1171" i="10"/>
  <c r="M1171" i="10" s="1"/>
  <c r="L1170" i="10"/>
  <c r="N1170" i="10" s="1"/>
  <c r="M1170" i="10" s="1"/>
  <c r="L1168" i="10"/>
  <c r="N1168" i="10" s="1"/>
  <c r="M1168" i="10" s="1"/>
  <c r="L1167" i="10"/>
  <c r="N1167" i="10" s="1"/>
  <c r="M1167" i="10" s="1"/>
  <c r="L1166" i="10"/>
  <c r="N1166" i="10" s="1"/>
  <c r="M1166" i="10" s="1"/>
  <c r="L1165" i="10"/>
  <c r="N1165" i="10" s="1"/>
  <c r="M1165" i="10" s="1"/>
  <c r="L1164" i="10"/>
  <c r="N1164" i="10" s="1"/>
  <c r="M1164" i="10" s="1"/>
  <c r="L1163" i="10"/>
  <c r="N1163" i="10" s="1"/>
  <c r="M1163" i="10" s="1"/>
  <c r="L1162" i="10"/>
  <c r="N1162" i="10" s="1"/>
  <c r="M1162" i="10" s="1"/>
  <c r="N1161" i="10"/>
  <c r="M1161" i="10"/>
  <c r="N1160" i="10"/>
  <c r="M1160" i="10" s="1"/>
  <c r="N1159" i="10"/>
  <c r="N1158" i="10"/>
  <c r="M1158" i="10"/>
  <c r="N1157" i="10"/>
  <c r="M1157" i="10" s="1"/>
  <c r="L1156" i="10"/>
  <c r="N1156" i="10" s="1"/>
  <c r="M1156" i="10" s="1"/>
  <c r="L1155" i="10"/>
  <c r="N1155" i="10" s="1"/>
  <c r="M1155" i="10" s="1"/>
  <c r="R1154" i="10"/>
  <c r="N1154" i="10"/>
  <c r="M1154" i="10"/>
  <c r="N1153" i="10"/>
  <c r="M1153" i="10" s="1"/>
  <c r="L1151" i="10"/>
  <c r="N1151" i="10" s="1"/>
  <c r="M1151" i="10" s="1"/>
  <c r="L1150" i="10"/>
  <c r="N1150" i="10" s="1"/>
  <c r="M1150" i="10" s="1"/>
  <c r="L1149" i="10"/>
  <c r="N1149" i="10" s="1"/>
  <c r="M1149" i="10" s="1"/>
  <c r="N1148" i="10"/>
  <c r="M1148" i="10" s="1"/>
  <c r="L1147" i="10"/>
  <c r="N1147" i="10" s="1"/>
  <c r="M1147" i="10" s="1"/>
  <c r="L1146" i="10"/>
  <c r="N1146" i="10" s="1"/>
  <c r="M1146" i="10" s="1"/>
  <c r="L1145" i="10"/>
  <c r="N1145" i="10" s="1"/>
  <c r="M1145" i="10" s="1"/>
  <c r="N1143" i="10"/>
  <c r="M1143" i="10"/>
  <c r="N1142" i="10"/>
  <c r="R1141" i="10"/>
  <c r="N1141" i="10"/>
  <c r="N1140" i="10"/>
  <c r="M1140" i="10" s="1"/>
  <c r="N1139" i="10"/>
  <c r="M1139" i="10"/>
  <c r="N1138" i="10"/>
  <c r="M1138" i="10" s="1"/>
  <c r="L1137" i="10"/>
  <c r="N1137" i="10" s="1"/>
  <c r="M1137" i="10" s="1"/>
  <c r="N1134" i="10"/>
  <c r="M1134" i="10"/>
  <c r="N1132" i="10"/>
  <c r="M1132" i="10"/>
  <c r="N1131" i="10"/>
  <c r="M1131" i="10"/>
  <c r="N1130" i="10"/>
  <c r="M1130" i="10" s="1"/>
  <c r="N1129" i="10"/>
  <c r="M1129" i="10" s="1"/>
  <c r="N1128" i="10"/>
  <c r="M1128" i="10"/>
  <c r="N1127" i="10"/>
  <c r="M1127" i="10"/>
  <c r="N1126" i="10"/>
  <c r="M1126" i="10"/>
  <c r="N1125" i="10"/>
  <c r="M1125" i="10"/>
  <c r="N1124" i="10"/>
  <c r="N1123" i="10"/>
  <c r="N1122" i="10"/>
  <c r="M1122" i="10" s="1"/>
  <c r="N1121" i="10"/>
  <c r="M1121" i="10"/>
  <c r="N1120" i="10"/>
  <c r="M1120" i="10" s="1"/>
  <c r="N1119" i="10"/>
  <c r="M1119" i="10" s="1"/>
  <c r="L1118" i="10"/>
  <c r="N1118" i="10" s="1"/>
  <c r="M1118" i="10" s="1"/>
  <c r="L1117" i="10"/>
  <c r="N1117" i="10" s="1"/>
  <c r="M1117" i="10" s="1"/>
  <c r="N1116" i="10"/>
  <c r="M1116" i="10"/>
  <c r="N1115" i="10"/>
  <c r="M1115" i="10" s="1"/>
  <c r="L1114" i="10"/>
  <c r="N1114" i="10" s="1"/>
  <c r="M1114" i="10" s="1"/>
  <c r="N1113" i="10"/>
  <c r="M1113" i="10"/>
  <c r="N1112" i="10"/>
  <c r="M1112" i="10" s="1"/>
  <c r="N1111" i="10"/>
  <c r="M1111" i="10"/>
  <c r="N1110" i="10"/>
  <c r="N1109" i="10"/>
  <c r="L1108" i="10"/>
  <c r="N1108" i="10" s="1"/>
  <c r="M1108" i="10" s="1"/>
  <c r="L1107" i="10"/>
  <c r="N1107" i="10" s="1"/>
  <c r="M1107" i="10" s="1"/>
  <c r="N1106" i="10"/>
  <c r="M1106" i="10"/>
  <c r="N1105" i="10"/>
  <c r="M1105" i="10" s="1"/>
  <c r="N1104" i="10"/>
  <c r="M1104" i="10"/>
  <c r="N1103" i="10"/>
  <c r="M1103" i="10" s="1"/>
  <c r="N1102" i="10"/>
  <c r="M1102" i="10" s="1"/>
  <c r="N1101" i="10"/>
  <c r="M1101" i="10"/>
  <c r="N1100" i="10"/>
  <c r="M1100" i="10"/>
  <c r="N1099" i="10"/>
  <c r="M1099" i="10" s="1"/>
  <c r="N1098" i="10"/>
  <c r="M1098" i="10"/>
  <c r="L1097" i="10"/>
  <c r="N1097" i="10" s="1"/>
  <c r="M1097" i="10" s="1"/>
  <c r="N1096" i="10"/>
  <c r="N1095" i="10"/>
  <c r="M1095" i="10" s="1"/>
  <c r="N1094" i="10"/>
  <c r="M1094" i="10"/>
  <c r="L1093" i="10"/>
  <c r="N1093" i="10" s="1"/>
  <c r="M1093" i="10" s="1"/>
  <c r="N1091" i="10"/>
  <c r="M1091" i="10" s="1"/>
  <c r="L1090" i="10"/>
  <c r="N1090" i="10" s="1"/>
  <c r="M1090" i="10" s="1"/>
  <c r="L1089" i="10"/>
  <c r="N1089" i="10" s="1"/>
  <c r="M1089" i="10" s="1"/>
  <c r="L1088" i="10"/>
  <c r="N1088" i="10" s="1"/>
  <c r="M1088" i="10" s="1"/>
  <c r="N1086" i="10"/>
  <c r="L1085" i="10"/>
  <c r="N1085" i="10" s="1"/>
  <c r="M1085" i="10" s="1"/>
  <c r="N1081" i="10"/>
  <c r="M1081" i="10"/>
  <c r="L1080" i="10"/>
  <c r="N1080" i="10" s="1"/>
  <c r="M1080" i="10" s="1"/>
  <c r="L1079" i="10"/>
  <c r="N1079" i="10" s="1"/>
  <c r="M1079" i="10" s="1"/>
  <c r="L1075" i="10"/>
  <c r="N1075" i="10" s="1"/>
  <c r="M1075" i="10" s="1"/>
  <c r="N1074" i="10"/>
  <c r="M1074" i="10"/>
  <c r="N1073" i="10"/>
  <c r="M1073" i="10"/>
  <c r="N1072" i="10"/>
  <c r="M1072" i="10" s="1"/>
  <c r="N1071" i="10"/>
  <c r="M1071" i="10" s="1"/>
  <c r="R1070" i="10"/>
  <c r="P1070" i="10"/>
  <c r="N1070" i="10"/>
  <c r="M1070" i="10"/>
  <c r="N1069" i="10"/>
  <c r="M1069" i="10"/>
  <c r="L1067" i="10"/>
  <c r="N1067" i="10" s="1"/>
  <c r="M1067" i="10" s="1"/>
  <c r="L1066" i="10"/>
  <c r="N1066" i="10" s="1"/>
  <c r="M1066" i="10" s="1"/>
  <c r="L1065" i="10"/>
  <c r="N1065" i="10" s="1"/>
  <c r="M1065" i="10" s="1"/>
  <c r="N1064" i="10"/>
  <c r="M1064" i="10"/>
  <c r="L1063" i="10"/>
  <c r="N1063" i="10" s="1"/>
  <c r="M1063" i="10" s="1"/>
  <c r="N1062" i="10"/>
  <c r="M1062" i="10"/>
  <c r="L1060" i="10"/>
  <c r="N1060" i="10" s="1"/>
  <c r="M1060" i="10" s="1"/>
  <c r="L1059" i="10"/>
  <c r="N1059" i="10" s="1"/>
  <c r="N1058" i="10"/>
  <c r="M1058" i="10" s="1"/>
  <c r="N1057" i="10"/>
  <c r="M1057" i="10"/>
  <c r="N1056" i="10"/>
  <c r="M1056" i="10" s="1"/>
  <c r="L1055" i="10"/>
  <c r="N1055" i="10" s="1"/>
  <c r="M1055" i="10" s="1"/>
  <c r="M1054" i="10"/>
  <c r="L1054" i="10"/>
  <c r="N1051" i="10"/>
  <c r="M1051" i="10"/>
  <c r="L1050" i="10"/>
  <c r="N1050" i="10" s="1"/>
  <c r="N1049" i="10"/>
  <c r="M1049" i="10" s="1"/>
  <c r="N1048" i="10"/>
  <c r="M1048" i="10"/>
  <c r="N1047" i="10"/>
  <c r="M1047" i="10" s="1"/>
  <c r="L1046" i="10"/>
  <c r="N1046" i="10" s="1"/>
  <c r="M1046" i="10" s="1"/>
  <c r="N1045" i="10"/>
  <c r="M1045" i="10" s="1"/>
  <c r="L1044" i="10"/>
  <c r="N1044" i="10" s="1"/>
  <c r="M1044" i="10" s="1"/>
  <c r="N1043" i="10"/>
  <c r="O1035" i="10"/>
  <c r="N1034" i="10"/>
  <c r="M1034" i="10" s="1"/>
  <c r="M1033" i="10"/>
  <c r="N1032" i="10"/>
  <c r="N1030" i="10"/>
  <c r="M1030" i="10" s="1"/>
  <c r="N1029" i="10"/>
  <c r="N1028" i="10"/>
  <c r="N1027" i="10"/>
  <c r="N1026" i="10"/>
  <c r="N1025" i="10"/>
  <c r="N1024" i="10"/>
  <c r="N1023" i="10"/>
  <c r="N1022" i="10"/>
  <c r="N1021" i="10"/>
  <c r="N1020" i="10"/>
  <c r="N1019" i="10"/>
  <c r="N1018" i="10"/>
  <c r="N1017" i="10"/>
  <c r="N1016" i="10"/>
  <c r="R1015" i="10"/>
  <c r="L1014" i="10"/>
  <c r="N1014" i="10" s="1"/>
  <c r="M1014" i="10" s="1"/>
  <c r="N1012" i="10"/>
  <c r="M1012" i="10" s="1"/>
  <c r="N1011" i="10"/>
  <c r="M1011" i="10"/>
  <c r="N1010" i="10"/>
  <c r="M1010" i="10" s="1"/>
  <c r="N1009" i="10"/>
  <c r="M1009" i="10"/>
  <c r="N1008" i="10"/>
  <c r="M1008" i="10" s="1"/>
  <c r="N1007" i="10"/>
  <c r="M1007" i="10"/>
  <c r="N1006" i="10"/>
  <c r="M1006" i="10" s="1"/>
  <c r="N1005" i="10"/>
  <c r="M1005" i="10"/>
  <c r="N1004" i="10"/>
  <c r="M1004" i="10" s="1"/>
  <c r="L1003" i="10"/>
  <c r="N1003" i="10" s="1"/>
  <c r="M1003" i="10" s="1"/>
  <c r="L1002" i="10"/>
  <c r="N1002" i="10" s="1"/>
  <c r="M1002" i="10" s="1"/>
  <c r="N1001" i="10"/>
  <c r="M1001" i="10" s="1"/>
  <c r="N1000" i="10"/>
  <c r="M1000" i="10"/>
  <c r="N999" i="10"/>
  <c r="M999" i="10" s="1"/>
  <c r="N998" i="10"/>
  <c r="M998" i="10"/>
  <c r="L995" i="10"/>
  <c r="N995" i="10" s="1"/>
  <c r="L994" i="10"/>
  <c r="N994" i="10" s="1"/>
  <c r="M994" i="10" s="1"/>
  <c r="L993" i="10"/>
  <c r="N993" i="10" s="1"/>
  <c r="M993" i="10" s="1"/>
  <c r="N992" i="10"/>
  <c r="M992" i="10"/>
  <c r="N991" i="10"/>
  <c r="M991" i="10" s="1"/>
  <c r="L990" i="10"/>
  <c r="N990" i="10" s="1"/>
  <c r="M990" i="10" s="1"/>
  <c r="N989" i="10"/>
  <c r="M989" i="10" s="1"/>
  <c r="L988" i="10"/>
  <c r="N988" i="10" s="1"/>
  <c r="M988" i="10" s="1"/>
  <c r="L987" i="10"/>
  <c r="N987" i="10" s="1"/>
  <c r="M987" i="10" s="1"/>
  <c r="N986" i="10"/>
  <c r="M986" i="10" s="1"/>
  <c r="L985" i="10"/>
  <c r="N985" i="10" s="1"/>
  <c r="M985" i="10" s="1"/>
  <c r="M983" i="10"/>
  <c r="L983" i="10"/>
  <c r="N982" i="10"/>
  <c r="M982" i="10" s="1"/>
  <c r="L977" i="10"/>
  <c r="N977" i="10" s="1"/>
  <c r="M977" i="10" s="1"/>
  <c r="L976" i="10"/>
  <c r="N976" i="10" s="1"/>
  <c r="M976" i="10" s="1"/>
  <c r="L975" i="10"/>
  <c r="N975" i="10" s="1"/>
  <c r="M975" i="10" s="1"/>
  <c r="L974" i="10"/>
  <c r="N974" i="10" s="1"/>
  <c r="M974" i="10" s="1"/>
  <c r="L973" i="10"/>
  <c r="N973" i="10" s="1"/>
  <c r="M973" i="10" s="1"/>
  <c r="L972" i="10"/>
  <c r="N972" i="10" s="1"/>
  <c r="M972" i="10" s="1"/>
  <c r="L971" i="10"/>
  <c r="N971" i="10" s="1"/>
  <c r="M971" i="10" s="1"/>
  <c r="L970" i="10"/>
  <c r="N970" i="10" s="1"/>
  <c r="M970" i="10" s="1"/>
  <c r="L969" i="10"/>
  <c r="N969" i="10" s="1"/>
  <c r="M969" i="10" s="1"/>
  <c r="L968" i="10"/>
  <c r="N968" i="10" s="1"/>
  <c r="M968" i="10" s="1"/>
  <c r="L967" i="10"/>
  <c r="N967" i="10" s="1"/>
  <c r="M967" i="10" s="1"/>
  <c r="L966" i="10"/>
  <c r="N966" i="10" s="1"/>
  <c r="M966" i="10" s="1"/>
  <c r="N965" i="10"/>
  <c r="M965" i="10" s="1"/>
  <c r="N964" i="10"/>
  <c r="M964" i="10" s="1"/>
  <c r="L963" i="10"/>
  <c r="N963" i="10" s="1"/>
  <c r="M963" i="10" s="1"/>
  <c r="L962" i="10"/>
  <c r="N962" i="10" s="1"/>
  <c r="M962" i="10" s="1"/>
  <c r="N961" i="10"/>
  <c r="M961" i="10"/>
  <c r="N960" i="10"/>
  <c r="N959" i="10"/>
  <c r="L957" i="10"/>
  <c r="N957" i="10" s="1"/>
  <c r="L956" i="10"/>
  <c r="N956" i="10" s="1"/>
  <c r="M956" i="10" s="1"/>
  <c r="N955" i="10"/>
  <c r="M955" i="10" s="1"/>
  <c r="L954" i="10"/>
  <c r="N954" i="10" s="1"/>
  <c r="M954" i="10" s="1"/>
  <c r="N953" i="10"/>
  <c r="M953" i="10" s="1"/>
  <c r="L952" i="10"/>
  <c r="N952" i="10" s="1"/>
  <c r="M952" i="10" s="1"/>
  <c r="R949" i="10"/>
  <c r="N949" i="10"/>
  <c r="M949" i="10" s="1"/>
  <c r="N948" i="10"/>
  <c r="R947" i="10"/>
  <c r="N947" i="10"/>
  <c r="M947" i="10" s="1"/>
  <c r="N946" i="10"/>
  <c r="N945" i="10"/>
  <c r="N944" i="10"/>
  <c r="N943" i="10"/>
  <c r="N942" i="10"/>
  <c r="N941" i="10"/>
  <c r="N940" i="10"/>
  <c r="N939" i="10"/>
  <c r="N938" i="10"/>
  <c r="N937" i="10"/>
  <c r="N936" i="10"/>
  <c r="N935" i="10"/>
  <c r="N934" i="10"/>
  <c r="N933" i="10"/>
  <c r="N932" i="10"/>
  <c r="N931" i="10"/>
  <c r="N930" i="10"/>
  <c r="N929" i="10"/>
  <c r="N928" i="10"/>
  <c r="N927" i="10"/>
  <c r="N926" i="10"/>
  <c r="N925" i="10"/>
  <c r="N924" i="10"/>
  <c r="N923" i="10"/>
  <c r="N922" i="10"/>
  <c r="N921" i="10"/>
  <c r="N919" i="10"/>
  <c r="M919" i="10"/>
  <c r="L918" i="10"/>
  <c r="N918" i="10" s="1"/>
  <c r="M918" i="10" s="1"/>
  <c r="N917" i="10"/>
  <c r="M917" i="10"/>
  <c r="L916" i="10"/>
  <c r="N916" i="10" s="1"/>
  <c r="M916" i="10" s="1"/>
  <c r="L915" i="10"/>
  <c r="N915" i="10" s="1"/>
  <c r="M915" i="10" s="1"/>
  <c r="R914" i="10"/>
  <c r="N914" i="10"/>
  <c r="M914" i="10"/>
  <c r="R913" i="10"/>
  <c r="N913" i="10"/>
  <c r="M913" i="10"/>
  <c r="L912" i="10"/>
  <c r="N912" i="10" s="1"/>
  <c r="M912" i="10" s="1"/>
  <c r="N910" i="10"/>
  <c r="M910" i="10" s="1"/>
  <c r="N909" i="10"/>
  <c r="M909" i="10"/>
  <c r="N908" i="10"/>
  <c r="L906" i="10"/>
  <c r="N906" i="10" s="1"/>
  <c r="M906" i="10" s="1"/>
  <c r="N905" i="10"/>
  <c r="M905" i="10" s="1"/>
  <c r="L903" i="10"/>
  <c r="N903" i="10" s="1"/>
  <c r="M903" i="10" s="1"/>
  <c r="L902" i="10"/>
  <c r="N902" i="10" s="1"/>
  <c r="M902" i="10" s="1"/>
  <c r="O901" i="10"/>
  <c r="N900" i="10"/>
  <c r="N899" i="10"/>
  <c r="N898" i="10"/>
  <c r="N897" i="10"/>
  <c r="N896" i="10"/>
  <c r="N894" i="10"/>
  <c r="M894" i="10" s="1"/>
  <c r="L893" i="10"/>
  <c r="N893" i="10" s="1"/>
  <c r="M893" i="10" s="1"/>
  <c r="N892" i="10"/>
  <c r="M892" i="10" s="1"/>
  <c r="L891" i="10"/>
  <c r="N891" i="10" s="1"/>
  <c r="M891" i="10" s="1"/>
  <c r="L890" i="10"/>
  <c r="N890" i="10" s="1"/>
  <c r="M890" i="10" s="1"/>
  <c r="L888" i="10"/>
  <c r="N888" i="10" s="1"/>
  <c r="M888" i="10" s="1"/>
  <c r="R885" i="10"/>
  <c r="N885" i="10"/>
  <c r="M885" i="10"/>
  <c r="N884" i="10"/>
  <c r="M884" i="10"/>
  <c r="L879" i="10"/>
  <c r="N879" i="10" s="1"/>
  <c r="M879" i="10" s="1"/>
  <c r="L878" i="10"/>
  <c r="N878" i="10" s="1"/>
  <c r="M878" i="10" s="1"/>
  <c r="L877" i="10"/>
  <c r="N877" i="10" s="1"/>
  <c r="M877" i="10" s="1"/>
  <c r="L876" i="10"/>
  <c r="N876" i="10" s="1"/>
  <c r="M876" i="10" s="1"/>
  <c r="L875" i="10"/>
  <c r="N875" i="10" s="1"/>
  <c r="M875" i="10" s="1"/>
  <c r="L874" i="10"/>
  <c r="N874" i="10" s="1"/>
  <c r="M874" i="10" s="1"/>
  <c r="L872" i="10"/>
  <c r="N872" i="10" s="1"/>
  <c r="M872" i="10" s="1"/>
  <c r="L869" i="10"/>
  <c r="N869" i="10" s="1"/>
  <c r="M869" i="10" s="1"/>
  <c r="L868" i="10"/>
  <c r="N868" i="10" s="1"/>
  <c r="M868" i="10" s="1"/>
  <c r="L867" i="10"/>
  <c r="N867" i="10" s="1"/>
  <c r="M867" i="10" s="1"/>
  <c r="N866" i="10"/>
  <c r="L865" i="10"/>
  <c r="N865" i="10" s="1"/>
  <c r="M865" i="10" s="1"/>
  <c r="L863" i="10"/>
  <c r="N863" i="10" s="1"/>
  <c r="M863" i="10" s="1"/>
  <c r="L862" i="10"/>
  <c r="N862" i="10" s="1"/>
  <c r="M862" i="10" s="1"/>
  <c r="L861" i="10"/>
  <c r="N861" i="10" s="1"/>
  <c r="M861" i="10" s="1"/>
  <c r="L860" i="10"/>
  <c r="N860" i="10" s="1"/>
  <c r="M860" i="10" s="1"/>
  <c r="N859" i="10"/>
  <c r="N858" i="10"/>
  <c r="L857" i="10"/>
  <c r="N857" i="10" s="1"/>
  <c r="M857" i="10" s="1"/>
  <c r="R856" i="10"/>
  <c r="L850" i="10"/>
  <c r="N850" i="10" s="1"/>
  <c r="M850" i="10" s="1"/>
  <c r="L849" i="10"/>
  <c r="N849" i="10" s="1"/>
  <c r="M849" i="10" s="1"/>
  <c r="L848" i="10"/>
  <c r="N848" i="10" s="1"/>
  <c r="M848" i="10" s="1"/>
  <c r="N845" i="10"/>
  <c r="N841" i="10"/>
  <c r="M841" i="10" s="1"/>
  <c r="L837" i="10"/>
  <c r="N837" i="10" s="1"/>
  <c r="M837" i="10" s="1"/>
  <c r="L829" i="10"/>
  <c r="N829" i="10" s="1"/>
  <c r="M829" i="10" s="1"/>
  <c r="L826" i="10"/>
  <c r="N826" i="10" s="1"/>
  <c r="M826" i="10" s="1"/>
  <c r="L825" i="10"/>
  <c r="N825" i="10" s="1"/>
  <c r="M825" i="10" s="1"/>
  <c r="N817" i="10"/>
  <c r="N813" i="10"/>
  <c r="R807" i="10"/>
  <c r="L802" i="10"/>
  <c r="N802" i="10" s="1"/>
  <c r="M802" i="10" s="1"/>
  <c r="L800" i="10"/>
  <c r="N800" i="10" s="1"/>
  <c r="M800" i="10" s="1"/>
  <c r="L797" i="10"/>
  <c r="N797" i="10" s="1"/>
  <c r="M797" i="10" s="1"/>
  <c r="L796" i="10"/>
  <c r="N796" i="10" s="1"/>
  <c r="M796" i="10" s="1"/>
  <c r="L795" i="10"/>
  <c r="N795" i="10" s="1"/>
  <c r="M795" i="10" s="1"/>
  <c r="N794" i="10"/>
  <c r="N793" i="10"/>
  <c r="N792" i="10"/>
  <c r="N791" i="10"/>
  <c r="N790" i="10"/>
  <c r="R789" i="10"/>
  <c r="N783" i="10"/>
  <c r="M783" i="10" s="1"/>
  <c r="L771" i="10"/>
  <c r="N771" i="10" s="1"/>
  <c r="M771" i="10" s="1"/>
  <c r="R767" i="10"/>
  <c r="L751" i="10"/>
  <c r="N751" i="10" s="1"/>
  <c r="M751" i="10" s="1"/>
  <c r="N741" i="10"/>
  <c r="M741" i="10"/>
  <c r="N736" i="10"/>
  <c r="N729" i="10"/>
  <c r="M729" i="10" s="1"/>
  <c r="L686" i="10"/>
  <c r="N686" i="10" s="1"/>
  <c r="M686" i="10" s="1"/>
  <c r="L685" i="10"/>
  <c r="N685" i="10" s="1"/>
  <c r="M685" i="10" s="1"/>
  <c r="L681" i="10"/>
  <c r="N681" i="10" s="1"/>
  <c r="M681" i="10" s="1"/>
  <c r="L680" i="10"/>
  <c r="N680" i="10" s="1"/>
  <c r="M680" i="10" s="1"/>
  <c r="L679" i="10"/>
  <c r="N679" i="10" s="1"/>
  <c r="M679" i="10" s="1"/>
  <c r="L675" i="10"/>
  <c r="N675" i="10" s="1"/>
  <c r="M675" i="10" s="1"/>
  <c r="N669" i="10"/>
  <c r="M649" i="10"/>
  <c r="L649" i="10"/>
  <c r="M645" i="10"/>
  <c r="L645" i="10"/>
  <c r="N635" i="10"/>
  <c r="M635" i="10" s="1"/>
  <c r="N627" i="10"/>
  <c r="L600" i="10"/>
  <c r="N600" i="10" s="1"/>
  <c r="M600" i="10" s="1"/>
  <c r="R592" i="10"/>
  <c r="N589" i="10"/>
  <c r="N588" i="10"/>
  <c r="M579" i="10"/>
  <c r="N553" i="10"/>
  <c r="M553" i="10"/>
  <c r="N542" i="10"/>
  <c r="M542" i="10" s="1"/>
  <c r="R539" i="10"/>
  <c r="R525" i="10"/>
  <c r="AE518" i="10"/>
  <c r="R511" i="10"/>
  <c r="R477" i="10"/>
  <c r="N477" i="10"/>
  <c r="R465" i="10"/>
  <c r="R464" i="10"/>
  <c r="R449" i="10"/>
  <c r="R443" i="10"/>
  <c r="R442" i="10"/>
  <c r="AE407" i="10"/>
  <c r="L407" i="10"/>
  <c r="N407" i="10" s="1"/>
  <c r="M407" i="10" s="1"/>
  <c r="N393" i="10"/>
  <c r="M393" i="10" s="1"/>
  <c r="R386" i="10"/>
  <c r="M352" i="10"/>
  <c r="P352" i="10" s="1"/>
  <c r="O352" i="10" s="1"/>
  <c r="N346" i="10"/>
  <c r="M346" i="10" s="1"/>
  <c r="N345" i="10"/>
  <c r="M345" i="10"/>
  <c r="N344" i="10"/>
  <c r="M344" i="10" s="1"/>
  <c r="R342" i="10"/>
  <c r="L306" i="10"/>
  <c r="N306" i="10" s="1"/>
  <c r="M306" i="10" s="1"/>
  <c r="AE297" i="10"/>
  <c r="AE220" i="10"/>
  <c r="R213" i="10"/>
  <c r="R210" i="10"/>
  <c r="R197" i="10"/>
  <c r="M58" i="10"/>
  <c r="L191" i="2"/>
  <c r="M191" i="2" s="1"/>
  <c r="L225" i="2"/>
  <c r="M225" i="2" s="1"/>
  <c r="J225" i="2"/>
  <c r="L213" i="2"/>
  <c r="M213" i="2" s="1"/>
  <c r="L138" i="2"/>
  <c r="M138" i="2" s="1"/>
  <c r="L264" i="2"/>
  <c r="M264" i="2" s="1"/>
  <c r="L236" i="2"/>
  <c r="M236" i="2" s="1"/>
  <c r="L41" i="2"/>
  <c r="M41" i="2" s="1"/>
  <c r="L212" i="2"/>
  <c r="M212" i="2" s="1"/>
  <c r="L267" i="2"/>
  <c r="M267" i="2" s="1"/>
  <c r="L217" i="2"/>
  <c r="M217" i="2" s="1"/>
  <c r="L216" i="2"/>
  <c r="M216" i="2" s="1"/>
  <c r="L215" i="2"/>
  <c r="M215" i="2" s="1"/>
  <c r="L160" i="2"/>
  <c r="M160" i="2" s="1"/>
  <c r="J271" i="2"/>
  <c r="L117" i="2"/>
  <c r="M117" i="2" s="1"/>
  <c r="J117" i="2"/>
  <c r="L234" i="2"/>
  <c r="M234" i="2" s="1"/>
  <c r="L265" i="2"/>
  <c r="M265" i="2" s="1"/>
  <c r="L182" i="2"/>
  <c r="M182" i="2" s="1"/>
  <c r="L203" i="2"/>
  <c r="M203" i="2" s="1"/>
  <c r="L247" i="2"/>
  <c r="M247" i="2" s="1"/>
  <c r="F23" i="8" l="1"/>
  <c r="G23" i="8" s="1"/>
  <c r="H23" i="8" s="1"/>
  <c r="D23" i="8"/>
  <c r="F16" i="8"/>
  <c r="G16" i="8" s="1"/>
  <c r="D16" i="8"/>
  <c r="F29" i="8"/>
  <c r="G29" i="8" s="1"/>
  <c r="H29" i="8" s="1"/>
  <c r="D29" i="8"/>
  <c r="F21" i="8"/>
  <c r="G21" i="8" s="1"/>
  <c r="H21" i="8" s="1"/>
  <c r="D21" i="8"/>
  <c r="F13" i="8"/>
  <c r="G13" i="8" s="1"/>
  <c r="H13" i="8" s="1"/>
  <c r="D13" i="8"/>
  <c r="F18" i="8"/>
  <c r="G18" i="8" s="1"/>
  <c r="H18" i="8" s="1"/>
  <c r="D18" i="8"/>
  <c r="F28" i="8"/>
  <c r="G28" i="8" s="1"/>
  <c r="H28" i="8" s="1"/>
  <c r="D28" i="8"/>
  <c r="F20" i="8"/>
  <c r="G20" i="8" s="1"/>
  <c r="H20" i="8" s="1"/>
  <c r="D20" i="8"/>
  <c r="F27" i="8"/>
  <c r="G27" i="8" s="1"/>
  <c r="D27" i="8"/>
  <c r="F26" i="8"/>
  <c r="G26" i="8" s="1"/>
  <c r="H26" i="8" s="1"/>
  <c r="D26" i="8"/>
  <c r="F19" i="8"/>
  <c r="G19" i="8" s="1"/>
  <c r="H19" i="8" s="1"/>
  <c r="F12" i="8"/>
  <c r="G12" i="8" s="1"/>
  <c r="H12" i="8" s="1"/>
  <c r="H17" i="8"/>
  <c r="G25" i="8"/>
  <c r="H25" i="8" s="1"/>
  <c r="G14" i="8"/>
  <c r="H14" i="8" s="1"/>
  <c r="F11" i="8"/>
  <c r="G11" i="8" s="1"/>
  <c r="H11" i="8" s="1"/>
  <c r="G46" i="8"/>
  <c r="F46" i="8"/>
  <c r="G45" i="8"/>
  <c r="F45" i="8"/>
  <c r="C9" i="8"/>
  <c r="D9" i="8" s="1"/>
  <c r="C10" i="8"/>
  <c r="I35" i="8"/>
  <c r="C35" i="8"/>
  <c r="D35" i="8" s="1"/>
  <c r="I5" i="8"/>
  <c r="C5" i="8"/>
  <c r="D5" i="8" s="1"/>
  <c r="I33" i="8"/>
  <c r="C33" i="8"/>
  <c r="D33" i="8" s="1"/>
  <c r="I37" i="8"/>
  <c r="C37" i="8"/>
  <c r="D37" i="8" s="1"/>
  <c r="I6" i="8"/>
  <c r="C6" i="8"/>
  <c r="D6" i="8" s="1"/>
  <c r="I32" i="8"/>
  <c r="C32" i="8"/>
  <c r="I39" i="8"/>
  <c r="C39" i="8"/>
  <c r="D39" i="8" s="1"/>
  <c r="I38" i="8"/>
  <c r="C38" i="8"/>
  <c r="D38" i="8" s="1"/>
  <c r="I8" i="8"/>
  <c r="C8" i="8"/>
  <c r="D8" i="8" s="1"/>
  <c r="I36" i="8"/>
  <c r="C36" i="8"/>
  <c r="D36" i="8" s="1"/>
  <c r="I7" i="8"/>
  <c r="C7" i="8"/>
  <c r="F34" i="8"/>
  <c r="D45" i="8"/>
  <c r="D44" i="8"/>
  <c r="D34" i="8"/>
  <c r="L42" i="2"/>
  <c r="M42" i="2" s="1"/>
  <c r="H27" i="8" l="1"/>
  <c r="H16" i="8"/>
  <c r="F10" i="8"/>
  <c r="G10" i="8" s="1"/>
  <c r="F9" i="8"/>
  <c r="G9" i="8" s="1"/>
  <c r="G34" i="8"/>
  <c r="H34" i="8" s="1"/>
  <c r="F7" i="8"/>
  <c r="F36" i="8"/>
  <c r="F8" i="8"/>
  <c r="F38" i="8"/>
  <c r="F39" i="8"/>
  <c r="F32" i="8"/>
  <c r="F6" i="8"/>
  <c r="F37" i="8"/>
  <c r="F33" i="8"/>
  <c r="F5" i="8"/>
  <c r="F35" i="8"/>
  <c r="D32" i="8"/>
  <c r="H9" i="8" l="1"/>
  <c r="H10" i="8"/>
  <c r="G35" i="8"/>
  <c r="H35" i="8" s="1"/>
  <c r="G5" i="8"/>
  <c r="H5" i="8" s="1"/>
  <c r="G33" i="8"/>
  <c r="H33" i="8" s="1"/>
  <c r="G37" i="8"/>
  <c r="H37" i="8" s="1"/>
  <c r="G6" i="8"/>
  <c r="H6" i="8" s="1"/>
  <c r="G32" i="8"/>
  <c r="H32" i="8" s="1"/>
  <c r="G39" i="8"/>
  <c r="H39" i="8" s="1"/>
  <c r="G38" i="8"/>
  <c r="H38" i="8" s="1"/>
  <c r="G8" i="8"/>
  <c r="H8" i="8" s="1"/>
  <c r="G36" i="8"/>
  <c r="H36" i="8" s="1"/>
  <c r="G7" i="8"/>
  <c r="H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Simpson</author>
    <author>Stacey Speakman</author>
    <author>Graham Pearey</author>
  </authors>
  <commentList>
    <comment ref="L22" authorId="0" shapeId="0" xr:uid="{71B6319F-6BFB-4BAF-82A4-FACAC4D1D059}">
      <text>
        <r>
          <rPr>
            <sz val="9"/>
            <color indexed="81"/>
            <rFont val="Tahoma"/>
            <family val="2"/>
          </rPr>
          <t xml:space="preserve">For review
</t>
        </r>
      </text>
    </comment>
    <comment ref="R54" authorId="0" shapeId="0" xr:uid="{C9F97AAF-87CF-42EF-98F0-894D7B98DE03}">
      <text>
        <r>
          <rPr>
            <sz val="9"/>
            <color indexed="81"/>
            <rFont val="Tahoma"/>
            <family val="2"/>
          </rPr>
          <t xml:space="preserve">was £800K
</t>
        </r>
      </text>
    </comment>
    <comment ref="J66" authorId="0" shapeId="0" xr:uid="{BCB1F44E-213A-43AA-B577-A3CE46202138}">
      <text>
        <r>
          <rPr>
            <sz val="9"/>
            <color indexed="81"/>
            <rFont val="Tahoma"/>
            <family val="2"/>
          </rPr>
          <t xml:space="preserve">Was
Kex Gill / A59 / Blubberhouses re-alignment
</t>
        </r>
      </text>
    </comment>
    <comment ref="J75" authorId="1" shapeId="0" xr:uid="{00000000-0006-0000-0200-000009000000}">
      <text>
        <r>
          <rPr>
            <b/>
            <sz val="9"/>
            <color indexed="81"/>
            <rFont val="Tahoma"/>
            <family val="2"/>
          </rPr>
          <t>Stacey Speakman:</t>
        </r>
        <r>
          <rPr>
            <sz val="9"/>
            <color indexed="81"/>
            <rFont val="Tahoma"/>
            <family val="2"/>
          </rPr>
          <t xml:space="preserve">
included with Security review.
</t>
        </r>
      </text>
    </comment>
    <comment ref="R103" authorId="0" shapeId="0" xr:uid="{35F619EB-B668-47E9-B4DD-11FB06021604}">
      <text>
        <r>
          <rPr>
            <sz val="9"/>
            <color indexed="81"/>
            <rFont val="Tahoma"/>
            <family val="2"/>
          </rPr>
          <t xml:space="preserve">Was 700K
</t>
        </r>
      </text>
    </comment>
    <comment ref="R107" authorId="0" shapeId="0" xr:uid="{934804E4-E6CD-4D92-9A8D-9C797D1F2133}">
      <text>
        <r>
          <rPr>
            <sz val="9"/>
            <color indexed="81"/>
            <rFont val="Tahoma"/>
            <family val="2"/>
          </rPr>
          <t>Est was 50000</t>
        </r>
        <r>
          <rPr>
            <sz val="9"/>
            <color indexed="81"/>
            <rFont val="Tahoma"/>
            <family val="2"/>
          </rPr>
          <t xml:space="preserve">
</t>
        </r>
      </text>
    </comment>
    <comment ref="R134" authorId="0" shapeId="0" xr:uid="{5DE42148-B0DA-4894-9CDD-E15894FB3EE6}">
      <text>
        <r>
          <rPr>
            <b/>
            <sz val="9"/>
            <color indexed="81"/>
            <rFont val="Tahoma"/>
            <family val="2"/>
          </rPr>
          <t>Martin Simpson:</t>
        </r>
        <r>
          <rPr>
            <sz val="9"/>
            <color indexed="81"/>
            <rFont val="Tahoma"/>
            <family val="2"/>
          </rPr>
          <t xml:space="preserve">
Was £300K.  Update from PMcL 17/04/18 increased to £900K.
</t>
        </r>
      </text>
    </comment>
    <comment ref="R135" authorId="0" shapeId="0" xr:uid="{479758D4-FF43-4512-93A9-DA2F0CCD8CC2}">
      <text>
        <r>
          <rPr>
            <sz val="9"/>
            <color indexed="81"/>
            <rFont val="Tahoma"/>
            <family val="2"/>
          </rPr>
          <t xml:space="preserve">Was 50k
</t>
        </r>
      </text>
    </comment>
    <comment ref="AE157" authorId="2" shapeId="0" xr:uid="{00000000-0006-0000-0200-000001000000}">
      <text>
        <r>
          <rPr>
            <b/>
            <sz val="9"/>
            <color indexed="81"/>
            <rFont val="Tahoma"/>
            <family val="2"/>
          </rPr>
          <t>Graham Pearey:</t>
        </r>
        <r>
          <rPr>
            <sz val="9"/>
            <color indexed="81"/>
            <rFont val="Tahoma"/>
            <family val="2"/>
          </rPr>
          <t xml:space="preserve">
Based on last renewal price.
</t>
        </r>
      </text>
    </comment>
    <comment ref="J210" authorId="0" shapeId="0" xr:uid="{B1D42DC4-7EEE-4B8C-8815-628FCDFC847B}">
      <text>
        <r>
          <rPr>
            <sz val="9"/>
            <color indexed="81"/>
            <rFont val="Tahoma"/>
            <family val="2"/>
          </rPr>
          <t xml:space="preserve">Meteogroup
</t>
        </r>
      </text>
    </comment>
    <comment ref="AE212" authorId="2" shapeId="0" xr:uid="{00000000-0006-0000-0200-000002000000}">
      <text>
        <r>
          <rPr>
            <b/>
            <sz val="9"/>
            <color indexed="81"/>
            <rFont val="Tahoma"/>
            <family val="2"/>
          </rPr>
          <t>Graham Pearey:</t>
        </r>
        <r>
          <rPr>
            <sz val="9"/>
            <color indexed="81"/>
            <rFont val="Tahoma"/>
            <family val="2"/>
          </rPr>
          <t xml:space="preserve">
Total cost is based on 400 ID devices.  This may increase depending on usage.
</t>
        </r>
      </text>
    </comment>
    <comment ref="L251" authorId="0" shapeId="0" xr:uid="{2938B7E6-9162-42B4-AD03-3533CDF912D9}">
      <text>
        <r>
          <rPr>
            <b/>
            <sz val="9"/>
            <color indexed="81"/>
            <rFont val="Tahoma"/>
            <family val="2"/>
          </rPr>
          <t>Martin Simpson:</t>
        </r>
        <r>
          <rPr>
            <sz val="9"/>
            <color indexed="81"/>
            <rFont val="Tahoma"/>
            <family val="2"/>
          </rPr>
          <t xml:space="preserve">
Was 30/04/2018
</t>
        </r>
      </text>
    </comment>
    <comment ref="R279" authorId="2" shapeId="0" xr:uid="{00000000-0006-0000-0200-000003000000}">
      <text>
        <r>
          <rPr>
            <b/>
            <sz val="9"/>
            <color indexed="81"/>
            <rFont val="Tahoma"/>
            <family val="2"/>
          </rPr>
          <t>Graham Pearey:</t>
        </r>
        <r>
          <rPr>
            <sz val="9"/>
            <color indexed="81"/>
            <rFont val="Tahoma"/>
            <family val="2"/>
          </rPr>
          <t xml:space="preserve">
Subject to inflation charge in years 3 and 4.
</t>
        </r>
      </text>
    </comment>
    <comment ref="AE279" authorId="2" shapeId="0" xr:uid="{00000000-0006-0000-0200-000004000000}">
      <text>
        <r>
          <rPr>
            <b/>
            <sz val="9"/>
            <color indexed="81"/>
            <rFont val="Tahoma"/>
            <family val="2"/>
          </rPr>
          <t>Graham Pearey:</t>
        </r>
        <r>
          <rPr>
            <sz val="9"/>
            <color indexed="81"/>
            <rFont val="Tahoma"/>
            <family val="2"/>
          </rPr>
          <t xml:space="preserve">
Subject to inflation charge in years 3 and 4.
</t>
        </r>
      </text>
    </comment>
    <comment ref="O330" authorId="2" shapeId="0" xr:uid="{00000000-0006-0000-0200-000005000000}">
      <text>
        <r>
          <rPr>
            <b/>
            <sz val="9"/>
            <color indexed="81"/>
            <rFont val="Tahoma"/>
            <family val="2"/>
          </rPr>
          <t>Graham Pearey:</t>
        </r>
        <r>
          <rPr>
            <sz val="9"/>
            <color indexed="81"/>
            <rFont val="Tahoma"/>
            <family val="2"/>
          </rPr>
          <t xml:space="preserve">
Contract commencement date: 01/11/18
Go-live date: 01/01/19
</t>
        </r>
      </text>
    </comment>
    <comment ref="R483" authorId="0" shapeId="0" xr:uid="{5BFBECA4-9E04-44B0-8664-766CACECB522}">
      <text>
        <r>
          <rPr>
            <b/>
            <sz val="9"/>
            <color indexed="81"/>
            <rFont val="Tahoma"/>
            <family val="2"/>
          </rPr>
          <t>Martin Simpson:</t>
        </r>
        <r>
          <rPr>
            <sz val="9"/>
            <color indexed="81"/>
            <rFont val="Tahoma"/>
            <family val="2"/>
          </rPr>
          <t xml:space="preserve">
£165,000? 17/04 JPWin
</t>
        </r>
      </text>
    </comment>
    <comment ref="R486" authorId="0" shapeId="0" xr:uid="{A245EA0F-4297-4A3B-94E6-082C756815CD}">
      <text>
        <r>
          <rPr>
            <b/>
            <sz val="9"/>
            <color indexed="81"/>
            <rFont val="Tahoma"/>
            <family val="2"/>
          </rPr>
          <t>Martin Simpson:</t>
        </r>
        <r>
          <rPr>
            <sz val="9"/>
            <color indexed="81"/>
            <rFont val="Tahoma"/>
            <family val="2"/>
          </rPr>
          <t xml:space="preserve">
£1.56M? 17/04 JPWin
</t>
        </r>
      </text>
    </comment>
    <comment ref="R512" authorId="0" shapeId="0" xr:uid="{CE608A87-1F60-410C-AB98-473C9EB3584E}">
      <text>
        <r>
          <rPr>
            <b/>
            <sz val="9"/>
            <color indexed="81"/>
            <rFont val="Tahoma"/>
            <family val="2"/>
          </rPr>
          <t>Martin Simpson:</t>
        </r>
        <r>
          <rPr>
            <sz val="9"/>
            <color indexed="81"/>
            <rFont val="Tahoma"/>
            <family val="2"/>
          </rPr>
          <t xml:space="preserve">
Was £258,355
</t>
        </r>
      </text>
    </comment>
    <comment ref="R525" authorId="0" shapeId="0" xr:uid="{EB94296B-BCCA-4CD1-9102-2DDF286E0CBD}">
      <text>
        <r>
          <rPr>
            <sz val="9"/>
            <color indexed="81"/>
            <rFont val="Tahoma"/>
            <family val="2"/>
          </rPr>
          <t xml:space="preserve">Phase 1 £225, 569 and Phase 2 £100,000
</t>
        </r>
      </text>
    </comment>
    <comment ref="R562" authorId="0" shapeId="0" xr:uid="{8C0C59E5-EBFA-4031-A013-2C726A032CAD}">
      <text>
        <r>
          <rPr>
            <sz val="9"/>
            <color indexed="81"/>
            <rFont val="Tahoma"/>
            <family val="2"/>
          </rPr>
          <t xml:space="preserve">Was £450K, increased by CSm MGa 24/04
</t>
        </r>
      </text>
    </comment>
    <comment ref="T638" authorId="1" shapeId="0" xr:uid="{00000000-0006-0000-0200-000006000000}">
      <text>
        <r>
          <rPr>
            <b/>
            <sz val="9"/>
            <color indexed="81"/>
            <rFont val="Tahoma"/>
            <family val="2"/>
          </rPr>
          <t>Stacey Speakman:</t>
        </r>
        <r>
          <rPr>
            <sz val="9"/>
            <color indexed="81"/>
            <rFont val="Tahoma"/>
            <family val="2"/>
          </rPr>
          <t xml:space="preserve">
If these is consolidated with all MS levels this should be 1 line and the date needs to be added.</t>
        </r>
      </text>
    </comment>
    <comment ref="R650" authorId="0" shapeId="0" xr:uid="{378E0109-924F-4F9E-A6D3-7ED249C5FEF0}">
      <text>
        <r>
          <rPr>
            <b/>
            <sz val="9"/>
            <color indexed="81"/>
            <rFont val="Tahoma"/>
            <family val="2"/>
          </rPr>
          <t>Martin Simpson:</t>
        </r>
        <r>
          <rPr>
            <sz val="9"/>
            <color indexed="81"/>
            <rFont val="Tahoma"/>
            <family val="2"/>
          </rPr>
          <t xml:space="preserve">
£456,420? 17/04 JPWin
</t>
        </r>
      </text>
    </comment>
    <comment ref="L1015" authorId="0" shapeId="0" xr:uid="{DC3B537C-B1F8-48E8-B8EE-5AE29B6EBCD4}">
      <text>
        <r>
          <rPr>
            <sz val="9"/>
            <color indexed="81"/>
            <rFont val="Tahoma"/>
            <family val="2"/>
          </rPr>
          <t xml:space="preserve">Check in advance.  When are the schools signed up?  Sept 2019 for 01/04/2020 start?  So for 2021 need to be in place by?
</t>
        </r>
      </text>
    </comment>
    <comment ref="R1031" authorId="0" shapeId="0" xr:uid="{FB10F096-FE2D-4300-A082-0DE93D819F7B}">
      <text>
        <r>
          <rPr>
            <b/>
            <sz val="9"/>
            <color indexed="81"/>
            <rFont val="Tahoma"/>
            <family val="2"/>
          </rPr>
          <t>Martin Simpson:</t>
        </r>
        <r>
          <rPr>
            <sz val="9"/>
            <color indexed="81"/>
            <rFont val="Tahoma"/>
            <family val="2"/>
          </rPr>
          <t xml:space="preserve">
Guestimate
</t>
        </r>
      </text>
    </comment>
    <comment ref="R1171" authorId="0" shapeId="0" xr:uid="{361C3668-5C35-4AF9-A0DB-B0E4ACD04CD0}">
      <text>
        <r>
          <rPr>
            <b/>
            <sz val="9"/>
            <color indexed="81"/>
            <rFont val="Tahoma"/>
            <family val="2"/>
          </rPr>
          <t>Martin Simpson:</t>
        </r>
        <r>
          <rPr>
            <sz val="9"/>
            <color indexed="81"/>
            <rFont val="Tahoma"/>
            <family val="2"/>
          </rPr>
          <t xml:space="preserve">
Martin Simpson:
Expenditure from 2016/17/ 2017/18 and 2018/19 (2019/20 incomplete as at July 2019)
</t>
        </r>
      </text>
    </comment>
    <comment ref="AE1396" authorId="2" shapeId="0" xr:uid="{00000000-0006-0000-0200-000007000000}">
      <text>
        <r>
          <rPr>
            <b/>
            <sz val="9"/>
            <color indexed="81"/>
            <rFont val="Tahoma"/>
            <family val="2"/>
          </rPr>
          <t>Graham Pearey:</t>
        </r>
        <r>
          <rPr>
            <sz val="9"/>
            <color indexed="81"/>
            <rFont val="Tahoma"/>
            <family val="2"/>
          </rPr>
          <t xml:space="preserve">
First Year Cost:
£35,193.00
Year 2 &amp; 3 Total:
£21,965.00</t>
        </r>
        <r>
          <rPr>
            <sz val="9"/>
            <color indexed="81"/>
            <rFont val="Tahoma"/>
            <family val="2"/>
          </rPr>
          <t xml:space="preserve">
</t>
        </r>
      </text>
    </comment>
    <comment ref="O1430" authorId="0" shapeId="0" xr:uid="{0A7FC379-BEE0-41A2-BFAF-47E8E6F87A3E}">
      <text>
        <r>
          <rPr>
            <sz val="9"/>
            <color indexed="81"/>
            <rFont val="Tahoma"/>
            <family val="2"/>
          </rPr>
          <t xml:space="preserve">Assumed start for Feb live tender
</t>
        </r>
      </text>
    </comment>
    <comment ref="L1455" authorId="0" shapeId="0" xr:uid="{1C050710-068C-4848-83A0-D041676BF025}">
      <text>
        <r>
          <rPr>
            <sz val="9"/>
            <color indexed="81"/>
            <rFont val="Tahoma"/>
            <family val="2"/>
          </rPr>
          <t xml:space="preserve">James Smith 24/08/2017
</t>
        </r>
      </text>
    </comment>
    <comment ref="R1504" authorId="0" shapeId="0" xr:uid="{7643E7C9-1EAB-44D5-B9A8-FFADC05AE5A8}">
      <text>
        <r>
          <rPr>
            <b/>
            <sz val="9"/>
            <color indexed="81"/>
            <rFont val="Tahoma"/>
            <family val="2"/>
          </rPr>
          <t>Martin Simpson:</t>
        </r>
        <r>
          <rPr>
            <sz val="9"/>
            <color indexed="81"/>
            <rFont val="Tahoma"/>
            <family val="2"/>
          </rPr>
          <t xml:space="preserve">
was £250K
</t>
        </r>
      </text>
    </comment>
  </commentList>
</comments>
</file>

<file path=xl/sharedStrings.xml><?xml version="1.0" encoding="utf-8"?>
<sst xmlns="http://schemas.openxmlformats.org/spreadsheetml/2006/main" count="26911" uniqueCount="4464">
  <si>
    <t>Master Category</t>
  </si>
  <si>
    <t>Yortender Ref</t>
  </si>
  <si>
    <t>Directorate</t>
  </si>
  <si>
    <t>Original Authority</t>
  </si>
  <si>
    <t>Post LGR: Directorate</t>
  </si>
  <si>
    <t>Post LGR: Service unit</t>
  </si>
  <si>
    <t>Spend category</t>
  </si>
  <si>
    <t>Procurement stage - Initial term or extension</t>
  </si>
  <si>
    <t>Contract title</t>
  </si>
  <si>
    <r>
      <rPr>
        <b/>
        <sz val="11"/>
        <color rgb="FFFF0000"/>
        <rFont val="Calibri"/>
        <family val="2"/>
        <scheme val="minor"/>
      </rPr>
      <t>*Not to publish, Auto complete but can be overriden*</t>
    </r>
    <r>
      <rPr>
        <b/>
        <sz val="11"/>
        <rFont val="Calibri"/>
        <family val="2"/>
        <scheme val="minor"/>
      </rPr>
      <t xml:space="preserve"> Trigger timescale in months</t>
    </r>
  </si>
  <si>
    <r>
      <rPr>
        <b/>
        <sz val="11"/>
        <color rgb="FFFF0000"/>
        <rFont val="Calibri"/>
        <family val="2"/>
        <scheme val="minor"/>
      </rPr>
      <t>*Auto complete*</t>
    </r>
    <r>
      <rPr>
        <b/>
        <sz val="11"/>
        <rFont val="Calibri"/>
        <family val="2"/>
        <scheme val="minor"/>
      </rPr>
      <t xml:space="preserve"> Procurement resource to be assigned.</t>
    </r>
  </si>
  <si>
    <r>
      <rPr>
        <b/>
        <sz val="11"/>
        <color rgb="FFFF0000"/>
        <rFont val="Calibri"/>
        <family val="2"/>
        <scheme val="minor"/>
      </rPr>
      <t>*Not to publish, Auto complete*</t>
    </r>
    <r>
      <rPr>
        <b/>
        <sz val="11"/>
        <rFont val="Calibri"/>
        <family val="2"/>
        <scheme val="minor"/>
      </rPr>
      <t xml:space="preserve"> GW1 or procurement to start</t>
    </r>
  </si>
  <si>
    <t>Date contract to start</t>
  </si>
  <si>
    <t>Total duration of contract in months including extensions</t>
  </si>
  <si>
    <t>Breakdown of total duration including extensions</t>
  </si>
  <si>
    <t>Estimated Whole Life Cost including extensions</t>
  </si>
  <si>
    <t xml:space="preserve">Whole Life Cost (inc VAT) assumed 20% </t>
  </si>
  <si>
    <t>Proposed procurement method</t>
  </si>
  <si>
    <t>Key Decision required? (or Decision Record)</t>
  </si>
  <si>
    <t>Key Decision Date</t>
  </si>
  <si>
    <t>Previous Method Used (for externals)</t>
  </si>
  <si>
    <t>Commissioner/ Responsible Officer / Contract Manager</t>
  </si>
  <si>
    <t>Procurement Lead</t>
  </si>
  <si>
    <t>Project Status</t>
  </si>
  <si>
    <t>To publish Yes / No</t>
  </si>
  <si>
    <t>Review/Notes</t>
  </si>
  <si>
    <t xml:space="preserve">Annual Cost of Contract </t>
  </si>
  <si>
    <t>Days since FPP Last Updated</t>
  </si>
  <si>
    <t>Professional</t>
  </si>
  <si>
    <t>CS</t>
  </si>
  <si>
    <t>NYCC</t>
  </si>
  <si>
    <t>Resources</t>
  </si>
  <si>
    <t xml:space="preserve">Property, Procurement and Commercial </t>
  </si>
  <si>
    <t>Facilities</t>
  </si>
  <si>
    <t>Initial Term</t>
  </si>
  <si>
    <t>TBC</t>
  </si>
  <si>
    <t>Decision Record</t>
  </si>
  <si>
    <t>NA</t>
  </si>
  <si>
    <t>Charlotte Stolarski</t>
  </si>
  <si>
    <t>Active</t>
  </si>
  <si>
    <t>Silver</t>
  </si>
  <si>
    <t>Yes</t>
  </si>
  <si>
    <t>Corporate Contracts</t>
  </si>
  <si>
    <t>N/A</t>
  </si>
  <si>
    <t>Harrogate</t>
  </si>
  <si>
    <t>Catering</t>
  </si>
  <si>
    <t>Further Comp - External (OJEU)</t>
  </si>
  <si>
    <t>Martyn Chesworth</t>
  </si>
  <si>
    <t>Place</t>
  </si>
  <si>
    <t>Built Environment</t>
  </si>
  <si>
    <t>Variation</t>
  </si>
  <si>
    <t>Hard FM KPI, Insurance &amp; Additional Extension Variation</t>
  </si>
  <si>
    <t>Multiple</t>
  </si>
  <si>
    <t>Contract Variation</t>
  </si>
  <si>
    <t>No</t>
  </si>
  <si>
    <t>Trevor Lambert</t>
  </si>
  <si>
    <t>Richard Seddon</t>
  </si>
  <si>
    <t>Hard FM (Lot 2) Mechnical Re-procurement
Mechanical Equipment and Plant</t>
  </si>
  <si>
    <t>Sam Spencer</t>
  </si>
  <si>
    <t>Non Active</t>
  </si>
  <si>
    <t>BES</t>
  </si>
  <si>
    <t>Environment</t>
  </si>
  <si>
    <t>Integrated Passenger Transport, Licencing, Public Rights of Ways &amp; Harbours</t>
  </si>
  <si>
    <t>Passenger Transport</t>
  </si>
  <si>
    <t>Extension</t>
  </si>
  <si>
    <t>Various</t>
  </si>
  <si>
    <t>Contract Extension</t>
  </si>
  <si>
    <t>Catherine Price</t>
  </si>
  <si>
    <t>Becky Naisbitt</t>
  </si>
  <si>
    <t>Technology</t>
  </si>
  <si>
    <t>ICT</t>
  </si>
  <si>
    <t>Arboriculture Asset Management System
(currently Arbortrack, provided by TriNova Systems)</t>
  </si>
  <si>
    <t>Stuart Truman (T&amp;C)</t>
  </si>
  <si>
    <t>Service Area</t>
  </si>
  <si>
    <t>T&amp;C (Business)</t>
  </si>
  <si>
    <t>Finance (inc. Pension Fund)</t>
  </si>
  <si>
    <t>Finance</t>
  </si>
  <si>
    <t xml:space="preserve">Banking Services </t>
  </si>
  <si>
    <t xml:space="preserve">Paul Nicholson/Dawn Molyneux </t>
  </si>
  <si>
    <t>Claire Bell</t>
  </si>
  <si>
    <t>Gold</t>
  </si>
  <si>
    <t>Financial Services</t>
  </si>
  <si>
    <t>CYPS</t>
  </si>
  <si>
    <t>eTraining - Governor Training (Currently Modern Governor via Herts for Learning)</t>
  </si>
  <si>
    <t>Adrian Clarke / Lorena Phillips</t>
  </si>
  <si>
    <t>T&amp;C (Education)</t>
  </si>
  <si>
    <t>HR_BS</t>
  </si>
  <si>
    <t>Multifunctional devices including print management services and software, desktop printers, print room equipment and duplicators</t>
  </si>
  <si>
    <t>Xerox</t>
  </si>
  <si>
    <t>John Metcalfe</t>
  </si>
  <si>
    <t>Mark Taylor</t>
  </si>
  <si>
    <t>silver</t>
  </si>
  <si>
    <t>HAS</t>
  </si>
  <si>
    <t>PAMMS Software - Data Market Insight (ADASS Collab)</t>
  </si>
  <si>
    <t>Laura Baxter</t>
  </si>
  <si>
    <t>Bronze</t>
  </si>
  <si>
    <t>T&amp;C (Miscellaneous)</t>
  </si>
  <si>
    <t>Special Educational Needs Home to School Transport - x6 schools (The Forest, Marchbank, Springwater, Woodlands) (add in Forest Moor and Brompton Hall)</t>
  </si>
  <si>
    <t>OJEU</t>
  </si>
  <si>
    <t>Chris Hebdon</t>
  </si>
  <si>
    <t>n/a</t>
  </si>
  <si>
    <t>T&amp;C (Finance)</t>
  </si>
  <si>
    <t>DN565376</t>
  </si>
  <si>
    <t>Cleaning &amp; Janitorial</t>
  </si>
  <si>
    <t>Cleaning and Janitorial
(currently supplied by YPO)</t>
  </si>
  <si>
    <t>LGR</t>
  </si>
  <si>
    <t>LGR Oracle PBCS (Planning &amp; Budgeting Cloud Solution) Application Support (Additional Support)</t>
  </si>
  <si>
    <t>Evosys</t>
  </si>
  <si>
    <t>12</t>
  </si>
  <si>
    <t>Direct Award</t>
  </si>
  <si>
    <t xml:space="preserve">No </t>
  </si>
  <si>
    <t xml:space="preserve">DN387270 </t>
  </si>
  <si>
    <t xml:space="preserve">Vmware licences for Vsphere, Virtual Centre &amp; SRM  </t>
  </si>
  <si>
    <t>Steve Caisley</t>
  </si>
  <si>
    <t>T&amp;C (Infrastructure)</t>
  </si>
  <si>
    <t>EForms for Website</t>
  </si>
  <si>
    <t>Wide Area Network (WAN) - Schools
(currently Nynet)</t>
  </si>
  <si>
    <t>Keren Wild</t>
  </si>
  <si>
    <t>T&amp;C (Schools ICT)</t>
  </si>
  <si>
    <t>Business Support</t>
  </si>
  <si>
    <t>Clothing</t>
  </si>
  <si>
    <t>Workwear &amp; PPE
(currently supplied by Thomas Owen)
Uniforms 
(currently supplied by Nalestar via YPO)</t>
  </si>
  <si>
    <t>Amanda Manifield</t>
  </si>
  <si>
    <t xml:space="preserve">Prevention and Service Development </t>
  </si>
  <si>
    <t>Pre Payment Cards for Court of Protection (PMO Ref 2313)</t>
  </si>
  <si>
    <t>tbc</t>
  </si>
  <si>
    <t>Highways, Transportation, Parking Services, Parks and Grounds</t>
  </si>
  <si>
    <t>Engineering &amp; Environment</t>
  </si>
  <si>
    <t>Whitley Bridge
Service bay protection
A0012
1014</t>
  </si>
  <si>
    <t>Further Comp - Internal (Non OJEU)</t>
  </si>
  <si>
    <t>Paul Tweed (Bridges)</t>
  </si>
  <si>
    <t>DN570992</t>
  </si>
  <si>
    <t>Direct Debit Payment System
(currently PayGate; contract with boxxe as a re-seller)</t>
  </si>
  <si>
    <t>Human Resources</t>
  </si>
  <si>
    <t>HR &amp; Training</t>
  </si>
  <si>
    <t>Framework Agreement for Everybody Benefits</t>
  </si>
  <si>
    <t>Kim Trenholme</t>
  </si>
  <si>
    <t>Fresh Fruit, Vegetables and Milk Products
(currently supplied by Stuarts / Paynes)</t>
  </si>
  <si>
    <t>Joanne Simpson / Shaun Mancrief</t>
  </si>
  <si>
    <t>Supply and Maintenance of SAN Virtual Tape Library</t>
  </si>
  <si>
    <t>Andy Jarvis</t>
  </si>
  <si>
    <t>T&amp;C (Unified Comms)</t>
  </si>
  <si>
    <t>DN514894</t>
  </si>
  <si>
    <t>60</t>
  </si>
  <si>
    <t>Key Decision</t>
  </si>
  <si>
    <t>People</t>
  </si>
  <si>
    <t>DN436659</t>
  </si>
  <si>
    <t>Children and Families</t>
  </si>
  <si>
    <t>Social Care</t>
  </si>
  <si>
    <t>Inter Country Adoption</t>
  </si>
  <si>
    <t>Alison Dickinson</t>
  </si>
  <si>
    <t>Financial Forecasting Software
(currently Oracle PBCS (Planning Budget Cloud Service) - contract with Insight as a re-seller)</t>
  </si>
  <si>
    <t>CD</t>
  </si>
  <si>
    <t>Data &amp; Systems</t>
  </si>
  <si>
    <t>ITQ</t>
  </si>
  <si>
    <t>Non active</t>
  </si>
  <si>
    <t>Asbestos Removal</t>
  </si>
  <si>
    <t>2+1+1</t>
  </si>
  <si>
    <t>Framework</t>
  </si>
  <si>
    <t>Further competition</t>
  </si>
  <si>
    <t>1+1</t>
  </si>
  <si>
    <t>Culture, Arts, Libraries, Museums, Archives, Key Venues &amp; Leisure</t>
  </si>
  <si>
    <t>36+24</t>
  </si>
  <si>
    <t>Bid</t>
  </si>
  <si>
    <t>Waiver</t>
  </si>
  <si>
    <t>Utilities</t>
  </si>
  <si>
    <t>Water Coolers and Associated goods</t>
  </si>
  <si>
    <t>24+24</t>
  </si>
  <si>
    <t>Termination</t>
  </si>
  <si>
    <t>Client money and case management system for Court of Protection Team (CASPAR)</t>
  </si>
  <si>
    <t>Environmental Services inc. low Carbon, Natural Capital &amp; Waste Services</t>
  </si>
  <si>
    <t>Consultancy</t>
  </si>
  <si>
    <t xml:space="preserve">Heat Offtake Feasibility Consultancy -Allerton Park </t>
  </si>
  <si>
    <t>Further Comp - External (non OJEU)</t>
  </si>
  <si>
    <t>Lisa Cooper</t>
  </si>
  <si>
    <t>Kate Chapman</t>
  </si>
  <si>
    <t>Property</t>
  </si>
  <si>
    <t>Building Signage for Vesting day</t>
  </si>
  <si>
    <t>Benjamin Hudson</t>
  </si>
  <si>
    <t>Ad-hoc</t>
  </si>
  <si>
    <t xml:space="preserve">Technology </t>
  </si>
  <si>
    <t>asap</t>
  </si>
  <si>
    <t>Michael Grayson</t>
  </si>
  <si>
    <t>Domestic Deep Cleaning</t>
  </si>
  <si>
    <t>Tim Wood</t>
  </si>
  <si>
    <t>Kirkham Bridge</t>
  </si>
  <si>
    <t>Further Comp - Internal (OJEU)</t>
  </si>
  <si>
    <t>Lastingham Bridge Strengthening</t>
  </si>
  <si>
    <t>tba</t>
  </si>
  <si>
    <t xml:space="preserve">Garden Wood Bridge Infilling </t>
  </si>
  <si>
    <t> </t>
  </si>
  <si>
    <t>24+12+12</t>
  </si>
  <si>
    <t>Housing</t>
  </si>
  <si>
    <t xml:space="preserve">Professional </t>
  </si>
  <si>
    <t>DN460974</t>
  </si>
  <si>
    <t>LDS</t>
  </si>
  <si>
    <t>e-Democracy System (PMO Ref: 2151)
(currently Modern.Gov, provided by Civica)</t>
  </si>
  <si>
    <t>Civica</t>
  </si>
  <si>
    <r>
      <t>32+12+</t>
    </r>
    <r>
      <rPr>
        <sz val="10"/>
        <color rgb="FFFF0000"/>
        <rFont val="Calibri"/>
        <family val="2"/>
        <scheme val="minor"/>
      </rPr>
      <t>12</t>
    </r>
  </si>
  <si>
    <t>Keri Wilkins</t>
  </si>
  <si>
    <t>non active</t>
  </si>
  <si>
    <t xml:space="preserve">Badger Gill 
743 Downstream invert repair </t>
  </si>
  <si>
    <t>Facilities Management</t>
  </si>
  <si>
    <t>Tender</t>
  </si>
  <si>
    <t>Initial term</t>
  </si>
  <si>
    <t>Quote</t>
  </si>
  <si>
    <t>Smoking Cessation System (Quit Manager, provided by Bionical) (PMO Ref: TBC)</t>
  </si>
  <si>
    <r>
      <t>36</t>
    </r>
    <r>
      <rPr>
        <sz val="10"/>
        <color rgb="FFFF0000"/>
        <rFont val="Calibri"/>
        <family val="2"/>
        <scheme val="minor"/>
      </rPr>
      <t>+12</t>
    </r>
    <r>
      <rPr>
        <sz val="10"/>
        <color theme="1"/>
        <rFont val="Calibri"/>
        <family val="2"/>
        <scheme val="minor"/>
      </rPr>
      <t>+12</t>
    </r>
  </si>
  <si>
    <t>Christina Rushworth / Lorena Phillips</t>
  </si>
  <si>
    <t>Waste and Environmental Services</t>
  </si>
  <si>
    <t>Ryedale</t>
  </si>
  <si>
    <t>Waste Collection Software Licenses and In Cab technology</t>
  </si>
  <si>
    <t>Webaspx Ltd</t>
  </si>
  <si>
    <t>Beckie Bennett</t>
  </si>
  <si>
    <t>NY H</t>
  </si>
  <si>
    <t>Hot box</t>
  </si>
  <si>
    <t xml:space="preserve">Economic Development, Regeneration, Tourism and Skills </t>
  </si>
  <si>
    <t>Director's Recommendation</t>
  </si>
  <si>
    <t>Liz Small</t>
  </si>
  <si>
    <t>Stacey Speakman</t>
  </si>
  <si>
    <t>Soft FM</t>
  </si>
  <si>
    <t>Tyres and associated services</t>
  </si>
  <si>
    <t>Nick Burgess</t>
  </si>
  <si>
    <t xml:space="preserve">BES </t>
  </si>
  <si>
    <t>Broome House Bridge</t>
  </si>
  <si>
    <t>Marage Path Footbridge – Design and Build Replacement</t>
  </si>
  <si>
    <t>Josh Calvert (Bridges)</t>
  </si>
  <si>
    <t>Skipton on Swale Bridge</t>
  </si>
  <si>
    <t>DN558175</t>
  </si>
  <si>
    <t xml:space="preserve">Shredding &amp; Secure Disposal of Confidential Material - Confidential Shredding and General Paper Waste </t>
  </si>
  <si>
    <r>
      <t>24+12+</t>
    </r>
    <r>
      <rPr>
        <sz val="10"/>
        <color rgb="FFFF0000"/>
        <rFont val="Calibri"/>
        <family val="2"/>
        <scheme val="minor"/>
      </rPr>
      <t>12</t>
    </r>
  </si>
  <si>
    <t>County Hall Data Centre Servicing &amp; Maintenance Contract</t>
  </si>
  <si>
    <t>Provision of two vehicles to Ryedale</t>
  </si>
  <si>
    <t>Andrew Sharpin</t>
  </si>
  <si>
    <t>Jayne Kempen</t>
  </si>
  <si>
    <t>Pupil and School Performance Data Analysis</t>
  </si>
  <si>
    <t>24+12</t>
  </si>
  <si>
    <t>Quotation</t>
  </si>
  <si>
    <t>DN531051</t>
  </si>
  <si>
    <t>Occupational Health Case Management System
(currently eOPAS, provided by Civica)</t>
  </si>
  <si>
    <r>
      <t>24+</t>
    </r>
    <r>
      <rPr>
        <sz val="10"/>
        <color rgb="FFFF0000"/>
        <rFont val="Calibri"/>
        <family val="2"/>
        <scheme val="minor"/>
      </rPr>
      <t>12</t>
    </r>
    <r>
      <rPr>
        <sz val="10"/>
        <rFont val="Calibri"/>
        <family val="2"/>
        <scheme val="minor"/>
      </rPr>
      <t>+12</t>
    </r>
  </si>
  <si>
    <t>Rachel Miller</t>
  </si>
  <si>
    <t>T&amp;C (HR)</t>
  </si>
  <si>
    <t>On-line Registrar, Births, Deaths and Marriages - Online Appointments System (PMO Ref: TBC)</t>
  </si>
  <si>
    <t>Robin Mair/Nick Leggott</t>
  </si>
  <si>
    <t>T&amp;C (Case Management)</t>
  </si>
  <si>
    <t>DN502144</t>
  </si>
  <si>
    <t>The Provision of Printed Cheques</t>
  </si>
  <si>
    <t>36 + 12 + 12 + 12 + 12</t>
  </si>
  <si>
    <t>Paul Lambert</t>
  </si>
  <si>
    <t>Inclusion</t>
  </si>
  <si>
    <t xml:space="preserve">OT tribunals and hubs </t>
  </si>
  <si>
    <r>
      <t>24+</t>
    </r>
    <r>
      <rPr>
        <sz val="10"/>
        <color rgb="FFFF0000"/>
        <rFont val="Calibri"/>
        <family val="2"/>
        <scheme val="minor"/>
      </rPr>
      <t>12</t>
    </r>
  </si>
  <si>
    <t>Rachel Richardson</t>
  </si>
  <si>
    <t>Neil Murray</t>
  </si>
  <si>
    <t>Allan McVeigh</t>
  </si>
  <si>
    <t>DN544810</t>
  </si>
  <si>
    <t>Library PC Booking and Print Management System</t>
  </si>
  <si>
    <r>
      <t>36+</t>
    </r>
    <r>
      <rPr>
        <sz val="10"/>
        <color rgb="FFFF0000"/>
        <rFont val="Calibri"/>
        <family val="2"/>
        <scheme val="minor"/>
      </rPr>
      <t>24</t>
    </r>
  </si>
  <si>
    <t>T&amp;C (Customer)</t>
  </si>
  <si>
    <t>Fleet Management</t>
  </si>
  <si>
    <t>Provision of Electronic Ticket Machines – portal fees</t>
  </si>
  <si>
    <r>
      <rPr>
        <sz val="10"/>
        <color rgb="FF000000"/>
        <rFont val="Calibri"/>
        <family val="2"/>
      </rPr>
      <t>12</t>
    </r>
    <r>
      <rPr>
        <sz val="10"/>
        <color rgb="FFFF0000"/>
        <rFont val="Calibri"/>
        <family val="2"/>
      </rPr>
      <t>+12</t>
    </r>
    <r>
      <rPr>
        <sz val="10"/>
        <color rgb="FF000000"/>
        <rFont val="Calibri"/>
        <family val="2"/>
      </rPr>
      <t>+12+12</t>
    </r>
  </si>
  <si>
    <t>Forensic Platform (currently with Nuix)</t>
  </si>
  <si>
    <t>Matt Hunter</t>
  </si>
  <si>
    <t>Director of Public Health</t>
  </si>
  <si>
    <t>Public Health</t>
  </si>
  <si>
    <t>Supply of e-cigarettes</t>
  </si>
  <si>
    <t>HASEX: 22/03/2023</t>
  </si>
  <si>
    <t xml:space="preserve">65372	</t>
  </si>
  <si>
    <t xml:space="preserve">Ouse Swing Bridge Run on Slab/joints </t>
  </si>
  <si>
    <t>Cornforth Hill Retaining Wall</t>
  </si>
  <si>
    <t>Great Ayton High Street Wall</t>
  </si>
  <si>
    <t xml:space="preserve">Cam Gill Road Creep 
1927 Redeck </t>
  </si>
  <si>
    <t>A20020 Area 2 23/24 Tender Package 5 Sutton Bank Annual Maintenance
A170</t>
  </si>
  <si>
    <t>Stuart Grimston</t>
  </si>
  <si>
    <t>DN437927</t>
  </si>
  <si>
    <t>Debt Tracing and Debt Recovery Services</t>
  </si>
  <si>
    <t>Sally Boakes</t>
  </si>
  <si>
    <t>Duchess of Kent Bridge Monitoring System
Surfacing, Monitoring System Upgrade</t>
  </si>
  <si>
    <t>On-line Registrar, Births, Deaths and Marriages - Online Appointments System</t>
  </si>
  <si>
    <r>
      <t>36+36+</t>
    </r>
    <r>
      <rPr>
        <sz val="10"/>
        <color rgb="FFFF0000"/>
        <rFont val="Calibri"/>
        <family val="2"/>
        <scheme val="minor"/>
      </rPr>
      <t>24</t>
    </r>
  </si>
  <si>
    <t>Robin Mair</t>
  </si>
  <si>
    <t>Harlow Nursery boiler replacement</t>
  </si>
  <si>
    <t>Dale Casson</t>
  </si>
  <si>
    <t>Traded Service Online Communications Platform
(currently SLA Online - provided by Frontline Data)
(2020 Ref: 3011 - NYES Future Technology Review)</t>
  </si>
  <si>
    <t>Lorena Phillips</t>
  </si>
  <si>
    <t>DN555452</t>
  </si>
  <si>
    <t>Oracle PBCS (Planning &amp; Budgeting Cloud Solution) Application Support
(currently provided by Evosys)</t>
  </si>
  <si>
    <r>
      <rPr>
        <sz val="10"/>
        <color rgb="FF000000"/>
        <rFont val="Calibri"/>
        <family val="2"/>
      </rPr>
      <t>24+</t>
    </r>
    <r>
      <rPr>
        <sz val="10"/>
        <color rgb="FFFF0000"/>
        <rFont val="Calibri"/>
        <family val="2"/>
      </rPr>
      <t>12</t>
    </r>
    <r>
      <rPr>
        <sz val="10"/>
        <color rgb="FF000000"/>
        <rFont val="Calibri"/>
        <family val="2"/>
      </rPr>
      <t>+12</t>
    </r>
  </si>
  <si>
    <t xml:space="preserve">Cockayne 
531 Saddle and spandrel wall take down </t>
  </si>
  <si>
    <t>Snaizeholme Wall, Gayle</t>
  </si>
  <si>
    <t>Jack Beck Bridge Strengthening, Clapham</t>
  </si>
  <si>
    <t>Chris Granger</t>
  </si>
  <si>
    <t/>
  </si>
  <si>
    <t>extension</t>
  </si>
  <si>
    <t>RFQ</t>
  </si>
  <si>
    <t>Coroners Case Management System</t>
  </si>
  <si>
    <t>36+12</t>
  </si>
  <si>
    <t>Cover Head Bridge, East Witton Strenthening</t>
  </si>
  <si>
    <t>HP IMC - support</t>
  </si>
  <si>
    <t>Andrew Lambert</t>
  </si>
  <si>
    <t>Netscaler, ADC licensing and hardware support (Citrix)</t>
  </si>
  <si>
    <t>A20018 Area 2 23/24 Tender Package 3 Landslips
U1858 Beakhills</t>
  </si>
  <si>
    <t>LEP</t>
  </si>
  <si>
    <t>Social &amp; Community Supplies &amp; Services</t>
  </si>
  <si>
    <t>Dental Epidemiology Survey</t>
  </si>
  <si>
    <t xml:space="preserve">Legal Services Case Management System. </t>
  </si>
  <si>
    <t>24+24+24</t>
  </si>
  <si>
    <t>Christopher Taylor</t>
  </si>
  <si>
    <t xml:space="preserve">Legal </t>
  </si>
  <si>
    <t>Legal</t>
  </si>
  <si>
    <t>Legal reference material:
- General reference material including; Case law; articles; provision of contract templates; and Q&amp;A service.</t>
  </si>
  <si>
    <t>Legal Services</t>
  </si>
  <si>
    <t>Property Asset Management System
(currently provided by Concerto)</t>
  </si>
  <si>
    <t>Schools, Adult Education &amp; Outdoor Education Services</t>
  </si>
  <si>
    <t>Education &amp; Training</t>
  </si>
  <si>
    <t>Provision of a North Yorkshire Selection Test Scheme for Grammar School Entry</t>
  </si>
  <si>
    <t>12+12+12</t>
  </si>
  <si>
    <t>Democratic and Financial Services</t>
  </si>
  <si>
    <t>Provision of ongoing hosting, support of the existing Pay360
Payment suite</t>
  </si>
  <si>
    <t>Capita</t>
  </si>
  <si>
    <t>Keiran Owen</t>
  </si>
  <si>
    <t>Direct award via KCS framework. Call off executed .£10,700 annual maintenance. Approx £22k annualy in transaction charges</t>
  </si>
  <si>
    <t>Eggbrough Canal Bridge re waterproofing works</t>
  </si>
  <si>
    <t>Thermal Pothole Repairs</t>
  </si>
  <si>
    <t>DPS - External call off</t>
  </si>
  <si>
    <t>LE</t>
  </si>
  <si>
    <t>Recruitment Admin System (DBS Functionality)</t>
  </si>
  <si>
    <t>Commondale Station Bridge - replacement bridge</t>
  </si>
  <si>
    <t xml:space="preserve">Stell Bank 
599 Saddle and new invert  </t>
  </si>
  <si>
    <t>Pension Investment Independent Advisor</t>
  </si>
  <si>
    <r>
      <rPr>
        <sz val="10"/>
        <color rgb="FF000000"/>
        <rFont val="Calibri"/>
        <family val="2"/>
      </rPr>
      <t>24+12+</t>
    </r>
    <r>
      <rPr>
        <sz val="10"/>
        <color rgb="FFFF0000"/>
        <rFont val="Calibri"/>
        <family val="2"/>
      </rPr>
      <t>12</t>
    </r>
  </si>
  <si>
    <t>Prevention &amp; Service Development</t>
  </si>
  <si>
    <t xml:space="preserve">Safeguarding Adults Review </t>
  </si>
  <si>
    <t xml:space="preserve">Highways, Transportation, Parking Services, Parks and Grounds </t>
  </si>
  <si>
    <t>Horticulture &amp; Arboriculture</t>
  </si>
  <si>
    <t>Seasonal Vegetation Cutting Programme 2020-24</t>
  </si>
  <si>
    <t>Brian Mullins</t>
  </si>
  <si>
    <t>Horticultural</t>
  </si>
  <si>
    <t>DN511710</t>
  </si>
  <si>
    <t>Independent Visitors</t>
  </si>
  <si>
    <r>
      <rPr>
        <sz val="10"/>
        <color rgb="FF000000"/>
        <rFont val="Calibri"/>
        <family val="2"/>
      </rPr>
      <t>24+24+</t>
    </r>
    <r>
      <rPr>
        <sz val="10"/>
        <color rgb="FFFF0000"/>
        <rFont val="Calibri"/>
        <family val="2"/>
      </rPr>
      <t>12</t>
    </r>
  </si>
  <si>
    <t>Andrew Sharpin / Gary White</t>
  </si>
  <si>
    <t>Area 5 Storiths Lane Landslips
A50006</t>
  </si>
  <si>
    <t>Daniel Herbert</t>
  </si>
  <si>
    <t>Temporary Traffic Data Collection, including Manual Traffic Surveys</t>
  </si>
  <si>
    <t>James Gilroy</t>
  </si>
  <si>
    <t>DN533038</t>
  </si>
  <si>
    <t>Trading Standards</t>
  </si>
  <si>
    <t>Trading Standards Business System (2020 PMO Ref: 2953)
(currently APP, provided by Civica)</t>
  </si>
  <si>
    <r>
      <t>36+</t>
    </r>
    <r>
      <rPr>
        <sz val="10"/>
        <color rgb="FFFF0000"/>
        <rFont val="Calibri"/>
        <family val="2"/>
        <scheme val="minor"/>
      </rPr>
      <t>12</t>
    </r>
    <r>
      <rPr>
        <sz val="10"/>
        <rFont val="Calibri"/>
        <family val="2"/>
        <scheme val="minor"/>
      </rPr>
      <t>+12</t>
    </r>
  </si>
  <si>
    <t>David Miller</t>
  </si>
  <si>
    <r>
      <t>36+12+</t>
    </r>
    <r>
      <rPr>
        <sz val="10"/>
        <color rgb="FFFF0000"/>
        <rFont val="Calibri"/>
        <family val="2"/>
        <scheme val="minor"/>
      </rPr>
      <t>12</t>
    </r>
  </si>
  <si>
    <t>Angela Lacy</t>
  </si>
  <si>
    <t>Programme Director—Place &amp; Resources</t>
  </si>
  <si>
    <t>Electric Vehicle Charging Infrastructure</t>
  </si>
  <si>
    <t>Connected Kerb Ltd</t>
  </si>
  <si>
    <t>36+12+12</t>
  </si>
  <si>
    <t>Craig Nattress</t>
  </si>
  <si>
    <t>MapInfo Pro Maintenance and Technical Support</t>
  </si>
  <si>
    <t>DN441357</t>
  </si>
  <si>
    <t>Supply and Delivery of Corporate Printing Services (Bulk Paper)</t>
  </si>
  <si>
    <t>Suzanne Horner</t>
  </si>
  <si>
    <t>Training</t>
  </si>
  <si>
    <t>24</t>
  </si>
  <si>
    <t>12+12</t>
  </si>
  <si>
    <t>DN542302</t>
  </si>
  <si>
    <t>Budget planning tool for schools
(currently provided by Orovia)</t>
  </si>
  <si>
    <t>Helen Otter</t>
  </si>
  <si>
    <t xml:space="preserve">LCS/ EHM MeLearning </t>
  </si>
  <si>
    <r>
      <rPr>
        <sz val="10"/>
        <color rgb="FF000000"/>
        <rFont val="Calibri"/>
        <family val="2"/>
      </rPr>
      <t>36</t>
    </r>
    <r>
      <rPr>
        <sz val="10"/>
        <color rgb="FFFF0000"/>
        <rFont val="Calibri"/>
        <family val="2"/>
      </rPr>
      <t>+12</t>
    </r>
  </si>
  <si>
    <t xml:space="preserve">	58725</t>
  </si>
  <si>
    <t>Policy, Performance, Refugee / Asylum Issues and Community Safety</t>
  </si>
  <si>
    <t>Domestic Abuse Support Pilot</t>
  </si>
  <si>
    <t>Procurement</t>
  </si>
  <si>
    <t>Hardware Security Modules (currently includes hardware, support and maintenance)
(currently provided by Thales - contract with Insight as a re-seller via IT Hardware Partner contract)</t>
  </si>
  <si>
    <t>Was previously £18k over 3 years for support and maintenance; however, new hardware was then required which increased total cost.  Manufacturer does not sell directly so need to go via a reseller.  Quotes obtained from 3 resellers.  Cheapest was Insight who have our IT Hardware Partner contract so it was agreed to purchase via this route so no YORtender record created.  Order was placed on 31/03/21 so new requirement will be approx 5 years from then depending on when the goods were delivered.</t>
  </si>
  <si>
    <t>Finance/Insurance</t>
  </si>
  <si>
    <t>Insurance Broker and Risk Management Consultancy Services</t>
  </si>
  <si>
    <r>
      <rPr>
        <sz val="10"/>
        <color rgb="FF000000"/>
        <rFont val="Calibri"/>
        <family val="2"/>
        <scheme val="minor"/>
      </rPr>
      <t>36+12+</t>
    </r>
    <r>
      <rPr>
        <sz val="10"/>
        <color rgb="FFFF0000"/>
        <rFont val="Calibri"/>
        <family val="2"/>
        <scheme val="minor"/>
      </rPr>
      <t>12</t>
    </r>
    <r>
      <rPr>
        <sz val="10"/>
        <color rgb="FF000000"/>
        <rFont val="Calibri"/>
        <family val="2"/>
        <scheme val="minor"/>
      </rPr>
      <t>+12</t>
    </r>
  </si>
  <si>
    <t>Fiona Sowerby</t>
  </si>
  <si>
    <t>Staff Restaurant County Hall (Concessions contract)</t>
  </si>
  <si>
    <r>
      <t>60+36+</t>
    </r>
    <r>
      <rPr>
        <sz val="10"/>
        <color rgb="FFFF0000"/>
        <rFont val="Calibri"/>
        <family val="2"/>
        <scheme val="minor"/>
      </rPr>
      <t>24</t>
    </r>
  </si>
  <si>
    <t>Jon Holden</t>
  </si>
  <si>
    <t>International Recruitment Agency</t>
  </si>
  <si>
    <r>
      <rPr>
        <sz val="10"/>
        <color rgb="FF000000"/>
        <rFont val="Calibri"/>
        <family val="2"/>
      </rPr>
      <t>24</t>
    </r>
    <r>
      <rPr>
        <sz val="10"/>
        <color rgb="FFFF0000"/>
        <rFont val="Calibri"/>
        <family val="2"/>
      </rPr>
      <t>+24</t>
    </r>
  </si>
  <si>
    <t>36+12+12+12</t>
  </si>
  <si>
    <t>Website Hosting - Drupal (Currently Code Enigma)</t>
  </si>
  <si>
    <t>decision Record</t>
  </si>
  <si>
    <t>Jon Learoyd</t>
  </si>
  <si>
    <t>TP2 Landslips A10023
B6270 Grinton to Hags Gill</t>
  </si>
  <si>
    <t>Alexander Gardner</t>
  </si>
  <si>
    <t>TP3 Specials A10024
Richmond Town Centre Cobbles - Newbiggin / Market Place</t>
  </si>
  <si>
    <t>Arboriculture services</t>
  </si>
  <si>
    <r>
      <rPr>
        <sz val="10"/>
        <color rgb="FF000000"/>
        <rFont val="Calibri"/>
        <family val="2"/>
      </rPr>
      <t>24</t>
    </r>
    <r>
      <rPr>
        <sz val="10"/>
        <color rgb="FFFF0000"/>
        <rFont val="Calibri"/>
        <family val="2"/>
      </rPr>
      <t>+12</t>
    </r>
    <r>
      <rPr>
        <sz val="10"/>
        <color rgb="FF000000"/>
        <rFont val="Calibri"/>
        <family val="2"/>
      </rPr>
      <t>+12</t>
    </r>
  </si>
  <si>
    <t>Helen Arnold and Dennis Gregson</t>
  </si>
  <si>
    <r>
      <rPr>
        <sz val="10"/>
        <color rgb="FF000000"/>
        <rFont val="Calibri"/>
        <family val="2"/>
      </rPr>
      <t>24+12</t>
    </r>
    <r>
      <rPr>
        <sz val="10"/>
        <color rgb="FFFF0000"/>
        <rFont val="Calibri"/>
        <family val="2"/>
      </rPr>
      <t>+12</t>
    </r>
  </si>
  <si>
    <t>HR Recruitment Main Admin System (Havas People)</t>
  </si>
  <si>
    <t xml:space="preserve">Contract signed and complete. </t>
  </si>
  <si>
    <t>The Provision of Specialist Advice for the Waste Management Service</t>
  </si>
  <si>
    <t>DN488954</t>
  </si>
  <si>
    <t>Kofax - Document Management Centre scanning/ePost - Mail Scanning</t>
  </si>
  <si>
    <t>TP2 Duck Street - A60020</t>
  </si>
  <si>
    <t>Strategic Leisure Review - Asset Condition Surveys</t>
  </si>
  <si>
    <t>Alverton and Bedale Primaries – roofing works combined package</t>
  </si>
  <si>
    <t>Paula McLean</t>
  </si>
  <si>
    <t>Crosby New Bridge Concrete Repairs</t>
  </si>
  <si>
    <t xml:space="preserve">Oral Health Promotion </t>
  </si>
  <si>
    <t>Westway - High Street, Eastfield
Area 3</t>
  </si>
  <si>
    <t>Open</t>
  </si>
  <si>
    <t>David Gomersall</t>
  </si>
  <si>
    <t>School Data Collection and Reporting System
(Groupcall Product - Xporter, Virtual School &amp; Xvault)</t>
  </si>
  <si>
    <t>DN536533</t>
  </si>
  <si>
    <t>Children, Young People and Families - Residential Apprenticeships</t>
  </si>
  <si>
    <t xml:space="preserve">Ruth Chester / Tracy Harrison </t>
  </si>
  <si>
    <t xml:space="preserve">Human Resources </t>
  </si>
  <si>
    <t>ID: 28074
DN535837</t>
  </si>
  <si>
    <t>Bus Service Registration, Publicity and NaPTAN Data System (PMO Ref: 3023 'Open Bus Data')</t>
  </si>
  <si>
    <r>
      <t>39+</t>
    </r>
    <r>
      <rPr>
        <sz val="10"/>
        <color rgb="FFFF0000"/>
        <rFont val="Calibri"/>
        <family val="2"/>
        <scheme val="minor"/>
      </rPr>
      <t>24</t>
    </r>
  </si>
  <si>
    <t>Cathy Knight</t>
  </si>
  <si>
    <t>Initial term: 3 years and 3 months (includes an implementation period of 3 months, up to 01/04/22 ('go-live'), followed by 3 full years of support and maintenance.
Noticed required for extension period: 30 calendar days.</t>
  </si>
  <si>
    <t>Commondale Station Bridge - precast concrete beams supply</t>
  </si>
  <si>
    <t>DN386609</t>
  </si>
  <si>
    <t>Provision of Support Services to the North Yorkshire Parents and Carers(Parent Carer Voice)</t>
  </si>
  <si>
    <t>12+12+36</t>
  </si>
  <si>
    <t>Contract Novation</t>
  </si>
  <si>
    <t>Carol-Ann Howe</t>
  </si>
  <si>
    <t>Rosie Wilkinson</t>
  </si>
  <si>
    <t xml:space="preserve">Gully Maintenance Risk software - Better Drainage </t>
  </si>
  <si>
    <r>
      <t>24</t>
    </r>
    <r>
      <rPr>
        <sz val="10"/>
        <color rgb="FFFF0000"/>
        <rFont val="Calibri"/>
        <family val="2"/>
        <scheme val="minor"/>
      </rPr>
      <t>+12</t>
    </r>
    <r>
      <rPr>
        <sz val="10"/>
        <color theme="1"/>
        <rFont val="Calibri"/>
        <family val="2"/>
        <scheme val="minor"/>
      </rPr>
      <t>+12</t>
    </r>
  </si>
  <si>
    <t>NYH Budget</t>
  </si>
  <si>
    <t>Andrew Binner</t>
  </si>
  <si>
    <t xml:space="preserve">48920	</t>
  </si>
  <si>
    <t xml:space="preserve">Library Management System </t>
  </si>
  <si>
    <r>
      <t>24</t>
    </r>
    <r>
      <rPr>
        <sz val="10"/>
        <color rgb="FFFF0000"/>
        <rFont val="Calibri"/>
        <family val="2"/>
        <scheme val="minor"/>
      </rPr>
      <t>+12</t>
    </r>
  </si>
  <si>
    <t>ASAP</t>
  </si>
  <si>
    <t>County Hall - the Grand Ceiling Repairs
20047</t>
  </si>
  <si>
    <t>Project Management System
(currently PPM, provided by Cora)</t>
  </si>
  <si>
    <t>DN218887</t>
  </si>
  <si>
    <t>Insurance System
(currently EvoClaim, provided by DWF 360)</t>
  </si>
  <si>
    <r>
      <rPr>
        <sz val="10"/>
        <color rgb="FF000000"/>
        <rFont val="Calibri"/>
        <family val="2"/>
      </rPr>
      <t>24+24+24+24+</t>
    </r>
    <r>
      <rPr>
        <sz val="10"/>
        <color rgb="FFFF0000"/>
        <rFont val="Calibri"/>
        <family val="2"/>
      </rPr>
      <t>24+</t>
    </r>
    <r>
      <rPr>
        <sz val="10"/>
        <color rgb="FF000000"/>
        <rFont val="Calibri"/>
        <family val="2"/>
      </rPr>
      <t>24</t>
    </r>
  </si>
  <si>
    <r>
      <rPr>
        <sz val="10"/>
        <color rgb="FF000000"/>
        <rFont val="Calibri"/>
        <family val="2"/>
      </rPr>
      <t>24+24+24+24+24+</t>
    </r>
    <r>
      <rPr>
        <sz val="10"/>
        <color rgb="FFFF0000"/>
        <rFont val="Calibri"/>
        <family val="2"/>
      </rPr>
      <t>24</t>
    </r>
  </si>
  <si>
    <t>River Foss Catchment Project</t>
  </si>
  <si>
    <t>Hugh Clear Hill</t>
  </si>
  <si>
    <t>Bell End Landslip
A40008</t>
  </si>
  <si>
    <t>Approved capital programme 22/23</t>
  </si>
  <si>
    <t>DN536306</t>
  </si>
  <si>
    <t>Production Chef Apprenticeship</t>
  </si>
  <si>
    <t>Gartner for IT leaders (subscription)</t>
  </si>
  <si>
    <t>Subscriptions</t>
  </si>
  <si>
    <t>DN546293</t>
  </si>
  <si>
    <t>The Provision of Radio Aids, Associated Equipment and Maintenance</t>
  </si>
  <si>
    <t>Resource Request</t>
  </si>
  <si>
    <t xml:space="preserve">A100021 Tender Package 8 
Fremmington
Cotterdale
?A684 drainage?
</t>
  </si>
  <si>
    <t>DN476035</t>
  </si>
  <si>
    <t>Fleet Management System
(currently provided by AssetWorks) Civica</t>
  </si>
  <si>
    <t>Closed</t>
  </si>
  <si>
    <t>Fleet Management System
(currently provided by AssetWorks)</t>
  </si>
  <si>
    <t>Kim Robertshaw</t>
  </si>
  <si>
    <t>DN549272</t>
  </si>
  <si>
    <t>NYCC Employee Assistance Programme (EAP)</t>
  </si>
  <si>
    <t>Anna Rea</t>
  </si>
  <si>
    <t>Community Development</t>
  </si>
  <si>
    <t>Carbon Neutral Surfacing pilot</t>
  </si>
  <si>
    <t>Not required</t>
  </si>
  <si>
    <t>Financial Information System incl Purchase Ordering</t>
  </si>
  <si>
    <t>Richmond Methodists - Hygiene Room</t>
  </si>
  <si>
    <t>Investigating Officer and Independent Person Stage 2 Service and Stage 3 Chair/Panellist Service</t>
  </si>
  <si>
    <t>SRF - A6108 Package 3 Skid resistance improvements A10020</t>
  </si>
  <si>
    <t>DN508661</t>
  </si>
  <si>
    <t>e-Scheduling System (2020 Ref: 2261) Lot 1 only</t>
  </si>
  <si>
    <t>Emma Pemberton</t>
  </si>
  <si>
    <t>Cattle Grids 2023/24</t>
  </si>
  <si>
    <t>Elections Management System</t>
  </si>
  <si>
    <r>
      <rPr>
        <sz val="10"/>
        <color rgb="FF000000"/>
        <rFont val="Calibri"/>
        <family val="2"/>
      </rPr>
      <t>29+</t>
    </r>
    <r>
      <rPr>
        <sz val="10"/>
        <color rgb="FFFF0000"/>
        <rFont val="Calibri"/>
        <family val="2"/>
      </rPr>
      <t>12</t>
    </r>
  </si>
  <si>
    <t>Workforce Management System (Currently Injixo) (PMO Ref:3221)</t>
  </si>
  <si>
    <t>37</t>
  </si>
  <si>
    <t>DN546084</t>
  </si>
  <si>
    <t>Social Worker Degree Apprenticeship</t>
  </si>
  <si>
    <t>01/30/2025</t>
  </si>
  <si>
    <t>SRF Package 2 Leyburn A10025</t>
  </si>
  <si>
    <t>TP4 Thirsk Market Place Phase 1 Special A20014
Boltby Mill to Boltby
Crayke Road
Stillington Road</t>
  </si>
  <si>
    <t>Waste</t>
  </si>
  <si>
    <t>Hazchem collection from HWRC</t>
  </si>
  <si>
    <t>Ross Bullerwell</t>
  </si>
  <si>
    <t>DOMESTIC ABUSE - Therapeutic Services (children)</t>
  </si>
  <si>
    <t>Catering Disposable Products
(currently supplied by YPO/Wilkes)</t>
  </si>
  <si>
    <t>36</t>
  </si>
  <si>
    <t>Barwic Parade Community Primary School - 19036 External play area development - 2022</t>
  </si>
  <si>
    <t>Tom Ireland</t>
  </si>
  <si>
    <t xml:space="preserve">65690	</t>
  </si>
  <si>
    <t>Foston C of E VC Primary School – Classroom Extension</t>
  </si>
  <si>
    <t>Paula Mclean</t>
  </si>
  <si>
    <t>Cowling Primary School - Playing Field Works</t>
  </si>
  <si>
    <t>Supply of permanent cold lay pot hole repair materials</t>
  </si>
  <si>
    <t>Traffic Signals Maintenance</t>
  </si>
  <si>
    <t>David Kirkpatrick</t>
  </si>
  <si>
    <t xml:space="preserve">ENCTS Back Office Software (2020 PMO Ref: 3134)
</t>
  </si>
  <si>
    <t>48 months + 11 months</t>
  </si>
  <si>
    <t>48 + 11</t>
  </si>
  <si>
    <t>Lone Worker Solutions</t>
  </si>
  <si>
    <t>Legal Advice for Waste Strategy</t>
  </si>
  <si>
    <r>
      <rPr>
        <sz val="10"/>
        <color rgb="FF000000"/>
        <rFont val="Calibri"/>
        <family val="2"/>
      </rPr>
      <t>24+</t>
    </r>
    <r>
      <rPr>
        <sz val="10"/>
        <color rgb="FFFF0000"/>
        <rFont val="Calibri"/>
        <family val="2"/>
      </rPr>
      <t>12</t>
    </r>
  </si>
  <si>
    <t>Langton Primary Kitchen extension and ancillary works and drainage scheme</t>
  </si>
  <si>
    <t>Whitby Swing Bridge Painting and Surfacing</t>
  </si>
  <si>
    <t>E-Books</t>
  </si>
  <si>
    <r>
      <rPr>
        <sz val="10"/>
        <color rgb="FF000000"/>
        <rFont val="Calibri"/>
        <family val="2"/>
      </rPr>
      <t>36+</t>
    </r>
    <r>
      <rPr>
        <sz val="10"/>
        <color rgb="FFFF0000"/>
        <rFont val="Calibri"/>
        <family val="2"/>
      </rPr>
      <t>24</t>
    </r>
  </si>
  <si>
    <t xml:space="preserve">DN564570 </t>
  </si>
  <si>
    <t>Oracle E-Business Suite - Third Party Support and Maintenance (PMO Ref: 3071) DN564570</t>
  </si>
  <si>
    <t>Urban Grass Cutting</t>
  </si>
  <si>
    <t>Fiona Stone</t>
  </si>
  <si>
    <t>Jonathan Spencer</t>
  </si>
  <si>
    <t>Debbie Walton</t>
  </si>
  <si>
    <t>TP1 Selby Area 7 Carriageway Surfacing package 1 – 2023 A70010</t>
  </si>
  <si>
    <t>Settrington All Saint's Intervention space</t>
  </si>
  <si>
    <t>Property, Procurement &amp; Commercial</t>
  </si>
  <si>
    <t>HAS EPH refurb 2022/23 Ashfield, Skipton</t>
  </si>
  <si>
    <t>HAS EPH refurb 2022/23 Silver Birches, Filey</t>
  </si>
  <si>
    <t>Summerbridge - 19030 internal adaptations - 2022</t>
  </si>
  <si>
    <t>Bedale High School - TBC changing room refurbishment
21022</t>
  </si>
  <si>
    <t>CYPS SEN provision - 2023</t>
  </si>
  <si>
    <t>DN539319</t>
  </si>
  <si>
    <t>LEP Careers Enterprise</t>
  </si>
  <si>
    <t>NYBEP Ltd</t>
  </si>
  <si>
    <r>
      <rPr>
        <sz val="10"/>
        <color rgb="FF000000"/>
        <rFont val="Calibri"/>
        <family val="2"/>
      </rPr>
      <t>12+12</t>
    </r>
    <r>
      <rPr>
        <sz val="10"/>
        <color rgb="FFFF0000"/>
        <rFont val="Calibri"/>
        <family val="2"/>
      </rPr>
      <t>+12</t>
    </r>
    <r>
      <rPr>
        <sz val="10"/>
        <color rgb="FF000000"/>
        <rFont val="Calibri"/>
        <family val="2"/>
      </rPr>
      <t>+12+12</t>
    </r>
  </si>
  <si>
    <t>BESEX 26/03/2021</t>
  </si>
  <si>
    <t>DN418993</t>
  </si>
  <si>
    <t>Medical advice for adoption and fostering panels</t>
  </si>
  <si>
    <r>
      <t>36+</t>
    </r>
    <r>
      <rPr>
        <sz val="10"/>
        <color rgb="FFFF0000"/>
        <rFont val="Calibri"/>
        <family val="2"/>
        <scheme val="minor"/>
      </rPr>
      <t>24</t>
    </r>
    <r>
      <rPr>
        <sz val="10"/>
        <rFont val="Calibri"/>
        <family val="2"/>
        <scheme val="minor"/>
      </rPr>
      <t>+24</t>
    </r>
  </si>
  <si>
    <t>Mel Hutchinson</t>
  </si>
  <si>
    <t>Risedale School Bus parking</t>
  </si>
  <si>
    <t>Scarborough Library - internal refurb</t>
  </si>
  <si>
    <t>Winter Health - Warm &amp; Well</t>
  </si>
  <si>
    <t>Citizens Advice Mid North Yorkshire Ltd</t>
  </si>
  <si>
    <r>
      <t>36+</t>
    </r>
    <r>
      <rPr>
        <sz val="10"/>
        <color rgb="FFFF0000"/>
        <rFont val="Calibri"/>
        <family val="2"/>
        <scheme val="minor"/>
      </rPr>
      <t>12</t>
    </r>
  </si>
  <si>
    <t>HASLT: 18/02/2021 
HAS EX: 12/03/2021</t>
  </si>
  <si>
    <t>Winter Health - Warm &amp; Well / Winter Health Co-ordination</t>
  </si>
  <si>
    <t>TP2 Selby Area 7 PSD Patching 2023 A70011</t>
  </si>
  <si>
    <t>Interactive Panels and Projectors including installation - Schools ICT</t>
  </si>
  <si>
    <t>Exempt</t>
  </si>
  <si>
    <t>Keren Wild/Nic Watters</t>
  </si>
  <si>
    <t>Survey of Private Network Cabling / Underground Utility Surveying and Mapping</t>
  </si>
  <si>
    <t>Waste management services</t>
  </si>
  <si>
    <t>Digital Transformation of Care Provider Services - eCare Records System</t>
  </si>
  <si>
    <t>3+2</t>
  </si>
  <si>
    <t>DN536303</t>
  </si>
  <si>
    <t xml:space="preserve">Technical and Planning Advisor for Waste (PPP) (Currently Jacobs) </t>
  </si>
  <si>
    <t>Rievaulx Bridge Maintenance
Major Works
314</t>
  </si>
  <si>
    <t>Ben Savage (Bridges)</t>
  </si>
  <si>
    <t>Highway Maintenance Gangs and Other Operatives/ 
Highway maintenance gangs</t>
  </si>
  <si>
    <t>Kingsley Farm Resurfacing s278
Bogs Lane, Harrogate</t>
  </si>
  <si>
    <t>DN264420</t>
  </si>
  <si>
    <t>Adult Social Care</t>
  </si>
  <si>
    <t>Care at Esk Moors Lodge</t>
  </si>
  <si>
    <t>HASLT: 18/03/2021
HAS EX: 09/04/2021</t>
  </si>
  <si>
    <t>Mike Rudd</t>
  </si>
  <si>
    <t>TP3 Civils / Landslips A30015</t>
  </si>
  <si>
    <t>Helen Watson</t>
  </si>
  <si>
    <t>Education Case Management System (Servelec)
Project Kairos (2020 PMO Ref: 1940)</t>
  </si>
  <si>
    <r>
      <rPr>
        <sz val="10"/>
        <color rgb="FF000000"/>
        <rFont val="Calibri"/>
        <family val="2"/>
      </rPr>
      <t>60</t>
    </r>
    <r>
      <rPr>
        <sz val="10"/>
        <color rgb="FFFF0000"/>
        <rFont val="Calibri"/>
        <family val="2"/>
      </rPr>
      <t>+24</t>
    </r>
  </si>
  <si>
    <t>The Wensleydale School - 20017 Design technology refurbishment - 2022</t>
  </si>
  <si>
    <t>TBA</t>
  </si>
  <si>
    <t>Furniture &amp; Soft Furnishings</t>
  </si>
  <si>
    <t>Supply of Office Furniture</t>
  </si>
  <si>
    <t>Gresham</t>
  </si>
  <si>
    <t xml:space="preserve">no </t>
  </si>
  <si>
    <t xml:space="preserve">Administering the North Yorkshire Local Assistance Fund </t>
  </si>
  <si>
    <t xml:space="preserve">Yore New 
293 Wall take down and rebuild </t>
  </si>
  <si>
    <t>Internet Filtering for Schools (Currently Smoothwall Product via Insight)</t>
  </si>
  <si>
    <t>Traffic Management</t>
  </si>
  <si>
    <t>DN579573</t>
  </si>
  <si>
    <t>Advocacy Services :
- CYPS Advocacy</t>
  </si>
  <si>
    <t>36+24+24</t>
  </si>
  <si>
    <t>HASLT: 22/07/2021
HAS EX: 13/08/2021</t>
  </si>
  <si>
    <t>Winter Service Equipment</t>
  </si>
  <si>
    <t>Easingwold Three Gables Bridge Painting</t>
  </si>
  <si>
    <t>Bishop Monkton Replace PCU with traditional build</t>
  </si>
  <si>
    <t>Telephony - Single Phone Number IVR Phase 2 - Variation to Opus Telephony Contract</t>
  </si>
  <si>
    <r>
      <rPr>
        <sz val="10"/>
        <color rgb="FF000000"/>
        <rFont val="Calibri"/>
        <family val="2"/>
      </rPr>
      <t>13+</t>
    </r>
    <r>
      <rPr>
        <sz val="10"/>
        <color rgb="FFFF0000"/>
        <rFont val="Calibri"/>
        <family val="2"/>
      </rPr>
      <t>12</t>
    </r>
    <r>
      <rPr>
        <sz val="10"/>
        <color rgb="FF000000"/>
        <rFont val="Calibri"/>
        <family val="2"/>
      </rPr>
      <t>+12</t>
    </r>
  </si>
  <si>
    <t>Initial KD: 10/02/2023</t>
  </si>
  <si>
    <t xml:space="preserve">	27500</t>
  </si>
  <si>
    <t xml:space="preserve">The Supply and Delivery of Office Supplies
 (currently supplied by Lyreco) </t>
  </si>
  <si>
    <t>Holiday Activities Fund</t>
  </si>
  <si>
    <t>Marie-Ann Jackson</t>
  </si>
  <si>
    <t>DN388786</t>
  </si>
  <si>
    <t>Service Management System
(currently Ivanti Service Manager, provided under contract with Ultima)</t>
  </si>
  <si>
    <r>
      <t xml:space="preserve">60 + 24 + </t>
    </r>
    <r>
      <rPr>
        <sz val="10"/>
        <color rgb="FFFF0000"/>
        <rFont val="Calibri"/>
        <family val="2"/>
        <scheme val="minor"/>
      </rPr>
      <t>24</t>
    </r>
    <r>
      <rPr>
        <sz val="10"/>
        <rFont val="Calibri"/>
        <family val="2"/>
        <scheme val="minor"/>
      </rPr>
      <t xml:space="preserve"> + 12</t>
    </r>
  </si>
  <si>
    <t xml:space="preserve">Christopher Taylor </t>
  </si>
  <si>
    <r>
      <t xml:space="preserve">60 + 24 + 24 + </t>
    </r>
    <r>
      <rPr>
        <sz val="10"/>
        <color rgb="FFFF0000"/>
        <rFont val="Calibri"/>
        <family val="2"/>
        <scheme val="minor"/>
      </rPr>
      <t>12</t>
    </r>
  </si>
  <si>
    <t>Young Peoples Pathway - Emergency &amp; Extended Supported Lodgings (Pathway 2 (SASH))</t>
  </si>
  <si>
    <t>06/07/2021 -Urgency notice issued</t>
  </si>
  <si>
    <t>Alan Tucker</t>
  </si>
  <si>
    <t>Hard FM (Lot 9) - Fire Equipment 
(to 31/08/2025)</t>
  </si>
  <si>
    <r>
      <rPr>
        <sz val="10"/>
        <color rgb="FF000000"/>
        <rFont val="Calibri"/>
        <family val="2"/>
      </rPr>
      <t>24+12+12+2+</t>
    </r>
    <r>
      <rPr>
        <sz val="10"/>
        <color rgb="FFFF0000"/>
        <rFont val="Calibri"/>
        <family val="2"/>
      </rPr>
      <t>17</t>
    </r>
  </si>
  <si>
    <t>Telephony - ( Virgin / NG Bailey) Provision of support and voice services</t>
  </si>
  <si>
    <r>
      <t>24+</t>
    </r>
    <r>
      <rPr>
        <sz val="10"/>
        <color rgb="FFFF0000"/>
        <rFont val="Calibri"/>
        <family val="2"/>
        <scheme val="minor"/>
      </rPr>
      <t>12</t>
    </r>
    <r>
      <rPr>
        <sz val="10"/>
        <color theme="1"/>
        <rFont val="Calibri"/>
        <family val="2"/>
        <scheme val="minor"/>
      </rPr>
      <t>+12</t>
    </r>
  </si>
  <si>
    <t>Kitchen Management System and Associated Hardware</t>
  </si>
  <si>
    <t>SRF - A6108 Package 5 Leyburn to Bellerby cycleroute 24/25</t>
  </si>
  <si>
    <t>Craven area dry mixed recycling</t>
  </si>
  <si>
    <t>YORwaste</t>
  </si>
  <si>
    <t>DN560044 / 26113</t>
  </si>
  <si>
    <t xml:space="preserve">Pensions Fund Investment Consultant </t>
  </si>
  <si>
    <t>TP3 Drainage and Specials - A60016</t>
  </si>
  <si>
    <t xml:space="preserve">Variation </t>
  </si>
  <si>
    <t>Drug &amp; Alcohol Service - Childrens - Rise (Healthy Child Substance Misuse)</t>
  </si>
  <si>
    <t>Angela Hall</t>
  </si>
  <si>
    <t>OJEU - LTR</t>
  </si>
  <si>
    <t>DN560907</t>
  </si>
  <si>
    <t>Mail Services</t>
  </si>
  <si>
    <t>Postal Service collaboration with Kirklees</t>
  </si>
  <si>
    <t>Whistl</t>
  </si>
  <si>
    <t>DN498638</t>
  </si>
  <si>
    <t>Actuarial Services - To provide the Pension Fund with Actuarial Service</t>
  </si>
  <si>
    <r>
      <t>60+</t>
    </r>
    <r>
      <rPr>
        <sz val="10"/>
        <color rgb="FFFF0000"/>
        <rFont val="Calibri"/>
        <family val="2"/>
        <scheme val="minor"/>
      </rPr>
      <t>12</t>
    </r>
    <r>
      <rPr>
        <sz val="10"/>
        <color theme="1"/>
        <rFont val="Calibri"/>
        <family val="2"/>
        <scheme val="minor"/>
      </rPr>
      <t>+12</t>
    </r>
  </si>
  <si>
    <t>Pensions</t>
  </si>
  <si>
    <r>
      <t>60+12+</t>
    </r>
    <r>
      <rPr>
        <sz val="10"/>
        <color rgb="FFFF0000"/>
        <rFont val="Calibri"/>
        <family val="2"/>
        <scheme val="minor"/>
      </rPr>
      <t>12</t>
    </r>
  </si>
  <si>
    <t xml:space="preserve">Active Travel Across the County A60011
A59 (Maple Close, Harrogate to Knaresborough)
Victoria Avenue, Harrogate                                                                                          
</t>
  </si>
  <si>
    <r>
      <t xml:space="preserve">60 + </t>
    </r>
    <r>
      <rPr>
        <sz val="10"/>
        <color rgb="FFFF0000"/>
        <rFont val="Calibri"/>
        <family val="2"/>
        <scheme val="minor"/>
      </rPr>
      <t>24</t>
    </r>
    <r>
      <rPr>
        <sz val="10"/>
        <rFont val="Calibri"/>
        <family val="2"/>
        <scheme val="minor"/>
      </rPr>
      <t xml:space="preserve"> + 24 + 12</t>
    </r>
  </si>
  <si>
    <t>TBC - 04/10/22???</t>
  </si>
  <si>
    <t>Selby Town Swing Bridge – fibre reinforced polymer (FRP) composite deck replacement.
Design, manufactuer and install</t>
  </si>
  <si>
    <t>Key Decision required?</t>
  </si>
  <si>
    <t>DN511173</t>
  </si>
  <si>
    <t>Business Travel</t>
  </si>
  <si>
    <t>Becky Naisbitt / Amanda Manifield</t>
  </si>
  <si>
    <t>Door and Security Access System
(currently Semieta, provided by Access IT, under contract with Softcat)</t>
  </si>
  <si>
    <t>Area 3 Whitby R&amp;R Tender Package 1</t>
  </si>
  <si>
    <t>TP1 R&amp;R A30013</t>
  </si>
  <si>
    <t>Venues</t>
  </si>
  <si>
    <t>External Venues</t>
  </si>
  <si>
    <t>Initial period: 22/02/2022, OTE: TBC</t>
  </si>
  <si>
    <t>Helen Jespersen</t>
  </si>
  <si>
    <t>DN548074</t>
  </si>
  <si>
    <t>Workwear &amp; PPE
Uniforms</t>
  </si>
  <si>
    <t>SRF - A6108 Package 7 Richmond Town Centre</t>
  </si>
  <si>
    <t>DOMESTIC ABUSE - Services for Adult Perpetrators of Domestic Abuse in North Yorkshire &amp; City of York</t>
  </si>
  <si>
    <t>48+12</t>
  </si>
  <si>
    <t>Odette Robson</t>
  </si>
  <si>
    <t>DOMESTIC ABUSE - Domestic Abuse Victims Community-Based Services in North Yorkshire &amp; City of York</t>
  </si>
  <si>
    <r>
      <t>48+</t>
    </r>
    <r>
      <rPr>
        <sz val="10"/>
        <color rgb="FFFF0000"/>
        <rFont val="Calibri"/>
        <family val="2"/>
        <scheme val="minor"/>
      </rPr>
      <t>12</t>
    </r>
  </si>
  <si>
    <t>Great Ouseburn Classroom remodel plus ancillary
Hire or purchase of prefab</t>
  </si>
  <si>
    <t>Hard FM (Lot 7) - Chimneys, Lighting Conductors 
(to 31/08/2025)</t>
  </si>
  <si>
    <t>Rural grass cutting</t>
  </si>
  <si>
    <t>Homelessness provision in Scarborough</t>
  </si>
  <si>
    <t>Michael Rudd</t>
  </si>
  <si>
    <t>TP2 Patching A30014</t>
  </si>
  <si>
    <t>Vehicle Restraint System Repair and Maintenance</t>
  </si>
  <si>
    <r>
      <t>Highway access / enabling works to site for potential 0-100 Place SEN School, Osgodby, Selby (</t>
    </r>
    <r>
      <rPr>
        <i/>
        <sz val="10"/>
        <rFont val="Calibri"/>
        <family val="2"/>
        <scheme val="minor"/>
      </rPr>
      <t>Selby Free School</t>
    </r>
    <r>
      <rPr>
        <sz val="10"/>
        <rFont val="Calibri"/>
        <family val="2"/>
        <scheme val="minor"/>
      </rPr>
      <t>)</t>
    </r>
  </si>
  <si>
    <t>48</t>
  </si>
  <si>
    <t>SRF Package 5 Laybys A10027
A6108</t>
  </si>
  <si>
    <t>Huntriss Row
Scarborough
A30003</t>
  </si>
  <si>
    <t>DN368842</t>
  </si>
  <si>
    <t>Library Kiosks - 2088 Public Use of IT Provision</t>
  </si>
  <si>
    <r>
      <t>84+</t>
    </r>
    <r>
      <rPr>
        <sz val="10"/>
        <color rgb="FFFF0000"/>
        <rFont val="Calibri"/>
        <family val="2"/>
        <scheme val="minor"/>
      </rPr>
      <t>24</t>
    </r>
    <r>
      <rPr>
        <sz val="10"/>
        <rFont val="Calibri"/>
        <family val="2"/>
        <scheme val="minor"/>
      </rPr>
      <t>+12</t>
    </r>
  </si>
  <si>
    <t>Library &amp; Community Services</t>
  </si>
  <si>
    <r>
      <t>84+24+</t>
    </r>
    <r>
      <rPr>
        <sz val="10"/>
        <color rgb="FFFF0000"/>
        <rFont val="Calibri"/>
        <family val="2"/>
        <scheme val="minor"/>
      </rPr>
      <t>12</t>
    </r>
  </si>
  <si>
    <t>Non Operated Plant Hire</t>
  </si>
  <si>
    <t>Carers Breaks Sitting Services</t>
  </si>
  <si>
    <t>HASLT: 14/07/2022
HAS EX:  16/09/2022</t>
  </si>
  <si>
    <t>Area 6 Otley Road Cycleway A60012
NPIF2
(West Harrogate Scheme (NPIF))
New roundabout and cycle route, crossings, kerbs</t>
  </si>
  <si>
    <t>Hard FM (Lot 12) - Asbestos Abatement 
(to 31/08/2025)</t>
  </si>
  <si>
    <t>Road traffic signs</t>
  </si>
  <si>
    <t>The Ghyll Children's Resource Centre, Skipton - reinstate residential centre</t>
  </si>
  <si>
    <t>A20016 Area 2 23/24 Tender Package 1 R&amp;R Schemes
A19 Easingwold Bypass
Thirsk Road, Easingwold
Easingwold Market Place
C86 Uppleby
Boltby
Pickhill</t>
  </si>
  <si>
    <t>DN544710</t>
  </si>
  <si>
    <t>Fuel Cards 
(currently supplied by Allstar Business Solutions Ltd)</t>
  </si>
  <si>
    <t>Income Management and Card Payments System</t>
  </si>
  <si>
    <t xml:space="preserve">Key Decision  </t>
  </si>
  <si>
    <t>£169,200 (years 1-3)
£31,200 (year 4)
£31,200 (year 5)</t>
  </si>
  <si>
    <t>Highways Asset Management System (currently Insight) PMO Ref: 3175</t>
  </si>
  <si>
    <t>SRF Package 4 Richmond and Skeeby A10026
Richmond Town Centre
Richmond School
Skeeby</t>
  </si>
  <si>
    <t>TP1 R&amp;R and PSDP A10022
Uckerby Hall Road
Uckerby Grange Road
Eshington Lane
Hargill
Satronside
Quakers Lane
Brokes
Green Howards
Rayns Bridge
Feetham &amp; Satronside</t>
  </si>
  <si>
    <t>Whitby scheme 1 / Junction improvement</t>
  </si>
  <si>
    <t>Whitby scheme 2 / Public realm works</t>
  </si>
  <si>
    <t xml:space="preserve">A60014 Area 6 &amp; Area 5 Joint R&amp;R Package 22/23              </t>
  </si>
  <si>
    <t xml:space="preserve">Workshop Parts / Inventory </t>
  </si>
  <si>
    <t>TP1 R&amp;R and Patching - A50007</t>
  </si>
  <si>
    <t xml:space="preserve">A40010 Area 4 23/24 Tender package 1
Gillamoor R&amp;R / Claxton R&amp;R / Sinton R&amp;R / Pickering R&amp;R / Settrington R&amp;R / Keldhome R&amp;R + PSDP
</t>
  </si>
  <si>
    <r>
      <t>36+</t>
    </r>
    <r>
      <rPr>
        <sz val="10"/>
        <color rgb="FFFF0000"/>
        <rFont val="Calibri"/>
        <family val="2"/>
        <scheme val="minor"/>
      </rPr>
      <t>24</t>
    </r>
    <r>
      <rPr>
        <sz val="10"/>
        <color rgb="FF000000"/>
        <rFont val="Calibri"/>
        <family val="2"/>
        <scheme val="minor"/>
      </rPr>
      <t>+24</t>
    </r>
  </si>
  <si>
    <t>25/08/2020</t>
  </si>
  <si>
    <t>Emma Lonsdale</t>
  </si>
  <si>
    <t>Fleet</t>
  </si>
  <si>
    <t>Vehicle Lifting Equipment</t>
  </si>
  <si>
    <t>Amy Thomas</t>
  </si>
  <si>
    <t>Adult and Children’s Social Care System &amp; Finance System
Project Kairos (2020 PMO Ref: 1940)</t>
  </si>
  <si>
    <r>
      <rPr>
        <sz val="10"/>
        <color rgb="FF000000"/>
        <rFont val="Calibri"/>
        <family val="2"/>
      </rPr>
      <t>60+</t>
    </r>
    <r>
      <rPr>
        <sz val="10"/>
        <color rgb="FFFF0000"/>
        <rFont val="Calibri"/>
        <family val="2"/>
      </rPr>
      <t>24</t>
    </r>
  </si>
  <si>
    <t>Procurement Management Software (Currently YORtender/Proactis)</t>
  </si>
  <si>
    <t>Rachel Woodward</t>
  </si>
  <si>
    <t>T&amp;C (Procurement Systems)</t>
  </si>
  <si>
    <t xml:space="preserve">Kevin Draisey </t>
  </si>
  <si>
    <t>Property Level Resilience Scheme</t>
  </si>
  <si>
    <t>Framework Establish</t>
  </si>
  <si>
    <t>REACH - homelessness provision S'Boro - Phase 2</t>
  </si>
  <si>
    <t>Ryedale DC Depot</t>
  </si>
  <si>
    <t>TP1 R&amp;R and PSDP - A40010</t>
  </si>
  <si>
    <t>Spray Injection Patching</t>
  </si>
  <si>
    <t>On farm composting of green waste (Ryedale, Selby and Scarborough areas)</t>
  </si>
  <si>
    <t>assumed</t>
  </si>
  <si>
    <t xml:space="preserve">Community Mental Health Services  </t>
  </si>
  <si>
    <r>
      <rPr>
        <sz val="11"/>
        <color rgb="FF000000"/>
        <rFont val="Calibri"/>
        <family val="2"/>
      </rPr>
      <t>36+24+</t>
    </r>
    <r>
      <rPr>
        <sz val="11"/>
        <color rgb="FFFF0000"/>
        <rFont val="Calibri"/>
        <family val="2"/>
      </rPr>
      <t>24</t>
    </r>
  </si>
  <si>
    <t xml:space="preserve">Yes </t>
  </si>
  <si>
    <t>HASLT:
HAS EX: 09/12/2022</t>
  </si>
  <si>
    <t>Trailblazer modules -  contract variation to Liquid Logic (HAS Funded)</t>
  </si>
  <si>
    <t>Yes
(Decision Record also completed for LLA variation)</t>
  </si>
  <si>
    <t>13/05/2021
(17/03/23)</t>
  </si>
  <si>
    <t>(HP) Offender Services (Resettlement and Community Safety)(Housing related support) including Substance Misuse Lot</t>
  </si>
  <si>
    <t>Welfare Benefits information &amp; Advice
Lot 1 - Information &amp; Advice Service
Lot 2 - Welfare rights information &amp; guidance service</t>
  </si>
  <si>
    <r>
      <rPr>
        <sz val="10"/>
        <color rgb="FF000000"/>
        <rFont val="Calibri"/>
        <family val="2"/>
      </rPr>
      <t>60+6+</t>
    </r>
    <r>
      <rPr>
        <sz val="10"/>
        <color rgb="FFFF0000"/>
        <rFont val="Calibri"/>
        <family val="2"/>
      </rPr>
      <t>6</t>
    </r>
    <r>
      <rPr>
        <sz val="10"/>
        <color rgb="FF000000"/>
        <rFont val="Calibri"/>
        <family val="2"/>
      </rPr>
      <t>+6+6</t>
    </r>
  </si>
  <si>
    <t>HASLT: 18/11/2021
HASEX: 14/01/2022</t>
  </si>
  <si>
    <t>HASLT: 07/09/2023
HASEX: 13/10/2023</t>
  </si>
  <si>
    <t xml:space="preserve">Housing support - Mental Health </t>
  </si>
  <si>
    <t>Home From Hospital</t>
  </si>
  <si>
    <t>60+24</t>
  </si>
  <si>
    <t>DN567561</t>
  </si>
  <si>
    <t>HASLT: 05/08/21
HAS EX: 13/08/21</t>
  </si>
  <si>
    <t>Abi Barron</t>
  </si>
  <si>
    <t>Independent Adoption Support Service (on behalf of Consortium of Regional Adoption Agencies)</t>
  </si>
  <si>
    <t>DN577410</t>
  </si>
  <si>
    <t>HAS/CYPS</t>
  </si>
  <si>
    <t xml:space="preserve">Carers Information and Advice Service / 
Young Carers information and advice service </t>
  </si>
  <si>
    <r>
      <rPr>
        <sz val="10"/>
        <color rgb="FF000000"/>
        <rFont val="Calibri"/>
        <family val="2"/>
      </rPr>
      <t xml:space="preserve">36 + </t>
    </r>
    <r>
      <rPr>
        <sz val="10"/>
        <color rgb="FFFF0000"/>
        <rFont val="Calibri"/>
        <family val="2"/>
      </rPr>
      <t>24</t>
    </r>
    <r>
      <rPr>
        <sz val="10"/>
        <color rgb="FF000000"/>
        <rFont val="Calibri"/>
        <family val="2"/>
      </rPr>
      <t xml:space="preserve"> + 24</t>
    </r>
  </si>
  <si>
    <t xml:space="preserve"> HASLT: 15/07/21
HAS EX: 13/08/21</t>
  </si>
  <si>
    <t>DN432896</t>
  </si>
  <si>
    <t>GRANT</t>
  </si>
  <si>
    <t>Voluntary, Community and Social Enterprise (VCSE) Infrastructure Sector Support Service Grant</t>
  </si>
  <si>
    <t>Neil Irving / Claire Lowery</t>
  </si>
  <si>
    <t>DOMESTIC ABUSE - Domestic Abuse Accommodation-based Support Services</t>
  </si>
  <si>
    <t>DN366165</t>
  </si>
  <si>
    <t>Dementia Support and Advice Services</t>
  </si>
  <si>
    <r>
      <t>48+</t>
    </r>
    <r>
      <rPr>
        <sz val="10"/>
        <color rgb="FFFF0000"/>
        <rFont val="Calibri"/>
        <family val="2"/>
        <scheme val="minor"/>
      </rPr>
      <t>24</t>
    </r>
    <r>
      <rPr>
        <sz val="10"/>
        <rFont val="Calibri"/>
        <family val="2"/>
        <scheme val="minor"/>
      </rPr>
      <t>+24+24</t>
    </r>
  </si>
  <si>
    <t>HASLT 17/11/2022
HASEX - 07/12/2022</t>
  </si>
  <si>
    <t>Oakbeck / Springwater redevelopments</t>
  </si>
  <si>
    <t>Prevention and Wellbeing Service</t>
  </si>
  <si>
    <t>Grant</t>
  </si>
  <si>
    <t>Skipton Greatwood Primary School - provide additional pupil places to expand the school from 1 form entry to 2 form entry</t>
  </si>
  <si>
    <t>DN332989</t>
  </si>
  <si>
    <t>Counsel (Barristers) to act for NYCC in respect of a range of legal matters</t>
  </si>
  <si>
    <t>APL</t>
  </si>
  <si>
    <t>Maths Initiative - Multiply Numeracy Skills</t>
  </si>
  <si>
    <t>Provisional 30/08/2022</t>
  </si>
  <si>
    <t>Adult Weight Management</t>
  </si>
  <si>
    <r>
      <rPr>
        <sz val="10"/>
        <color rgb="FF000000"/>
        <rFont val="Calibri"/>
        <family val="2"/>
      </rPr>
      <t xml:space="preserve">HASLT: 23/11/23
</t>
    </r>
    <r>
      <rPr>
        <sz val="10"/>
        <color rgb="FFFF0000"/>
        <rFont val="Calibri"/>
        <family val="2"/>
      </rPr>
      <t>HASEX: 08/12/23</t>
    </r>
  </si>
  <si>
    <t>HASLT: 23/11/23
HASEX: 08/12/23</t>
  </si>
  <si>
    <t>Highway Electrical Installations including ICP</t>
  </si>
  <si>
    <t xml:space="preserve">Universal Youth Services </t>
  </si>
  <si>
    <t>36+36+24</t>
  </si>
  <si>
    <t>Key Decision 25/11/2021</t>
  </si>
  <si>
    <t>DN585990</t>
  </si>
  <si>
    <t>Supply and Delivery of Pre-Packed Sandwiches and Associated Products</t>
  </si>
  <si>
    <t>28+24</t>
  </si>
  <si>
    <r>
      <rPr>
        <sz val="10"/>
        <color rgb="FF000000"/>
        <rFont val="Calibri"/>
        <family val="2"/>
      </rPr>
      <t>36+</t>
    </r>
    <r>
      <rPr>
        <sz val="10"/>
        <color rgb="FFFF0000"/>
        <rFont val="Calibri"/>
        <family val="2"/>
      </rPr>
      <t>36</t>
    </r>
    <r>
      <rPr>
        <sz val="10"/>
        <color rgb="FF000000"/>
        <rFont val="Calibri"/>
        <family val="2"/>
      </rPr>
      <t>+24</t>
    </r>
  </si>
  <si>
    <r>
      <rPr>
        <sz val="10"/>
        <color rgb="FF000000"/>
        <rFont val="Calibri"/>
        <family val="2"/>
      </rPr>
      <t>36+36+</t>
    </r>
    <r>
      <rPr>
        <sz val="10"/>
        <color rgb="FFFF0000"/>
        <rFont val="Calibri"/>
        <family val="2"/>
      </rPr>
      <t>24</t>
    </r>
  </si>
  <si>
    <t>A60015 Area 6 R&amp;R</t>
  </si>
  <si>
    <t>Framework Agreement for the Provision of School's Online Payment Systems</t>
  </si>
  <si>
    <t>4</t>
  </si>
  <si>
    <t>Liquid Fuel - Oil - heating</t>
  </si>
  <si>
    <t>Kristina Peat</t>
  </si>
  <si>
    <t>Targeted Healthy Child Service</t>
  </si>
  <si>
    <t>DN479650 (Minicomp)
DN413451 (RFI)</t>
  </si>
  <si>
    <t>Pension Administration System</t>
  </si>
  <si>
    <r>
      <t>60+</t>
    </r>
    <r>
      <rPr>
        <sz val="10"/>
        <color rgb="FFFF0000"/>
        <rFont val="Calibri"/>
        <family val="2"/>
      </rPr>
      <t>24</t>
    </r>
    <r>
      <rPr>
        <sz val="10"/>
        <rFont val="Calibri"/>
        <family val="2"/>
      </rPr>
      <t>+24+12</t>
    </r>
  </si>
  <si>
    <t>Awarded through LGPS framework previously then extended, a key decision was previously completed.</t>
  </si>
  <si>
    <r>
      <t>60+24+</t>
    </r>
    <r>
      <rPr>
        <sz val="10"/>
        <color rgb="FFFF0000"/>
        <rFont val="Calibri"/>
        <family val="2"/>
      </rPr>
      <t>24</t>
    </r>
    <r>
      <rPr>
        <sz val="10"/>
        <rFont val="Calibri"/>
        <family val="2"/>
      </rPr>
      <t>+12</t>
    </r>
  </si>
  <si>
    <r>
      <t>60+24+24</t>
    </r>
    <r>
      <rPr>
        <sz val="10"/>
        <color rgb="FFFF0000"/>
        <rFont val="Calibri"/>
        <family val="2"/>
      </rPr>
      <t>+12</t>
    </r>
  </si>
  <si>
    <t>Harrogate Convention Centre Redevelopment
Venue Operators
Mechanical and Electrical Plant</t>
  </si>
  <si>
    <t>Supply of liquid fuels - road</t>
  </si>
  <si>
    <t>Homeless Prevention - generic "floating support"</t>
  </si>
  <si>
    <t>HASLT: 05/10/2023
HASEX: 10/11/2023</t>
  </si>
  <si>
    <t>Assistive Technology</t>
  </si>
  <si>
    <t>HASLT: 12/2022 
HAS EX: 13/01/2023</t>
  </si>
  <si>
    <t>HASLT: 11/05/2023
HASEX: 09/06/2023</t>
  </si>
  <si>
    <t>Clinical psychologist (No Wrong Door, CAMHS, PiP).</t>
  </si>
  <si>
    <t>Original procurement was KD</t>
  </si>
  <si>
    <t>Welburn Hall Maintenance Scheme
Heating and drainage attenuation</t>
  </si>
  <si>
    <t>Wide Area Network (WAN) - Corporate</t>
  </si>
  <si>
    <t>Roofing Framework</t>
  </si>
  <si>
    <t>Supply of General Building Materials</t>
  </si>
  <si>
    <t>DN578215</t>
  </si>
  <si>
    <t>Fresh Fruit, Vegetables and Milk Products</t>
  </si>
  <si>
    <t>30+24</t>
  </si>
  <si>
    <t>Supply of Electrical Equipment</t>
  </si>
  <si>
    <t>Supply of Gritters including leasing options</t>
  </si>
  <si>
    <t>active</t>
  </si>
  <si>
    <t xml:space="preserve">Replacement windows tender </t>
  </si>
  <si>
    <t xml:space="preserve">School Improvement &amp; Locality Boards  </t>
  </si>
  <si>
    <t>35+24</t>
  </si>
  <si>
    <t>IT Hardware Partner</t>
  </si>
  <si>
    <t>Outdoor learning service Bewerley Park reconfiguration
Replacement of residential blocks in phases</t>
  </si>
  <si>
    <t>Levelling Up Fund (LUF) Thirsk Platform</t>
  </si>
  <si>
    <t>2023/24</t>
  </si>
  <si>
    <t>Social &amp; Community Care Supplies &amp; Services - Adults</t>
  </si>
  <si>
    <t xml:space="preserve">Household Support Fund (HSF 4) - DWP Voucher Scheme </t>
  </si>
  <si>
    <t>Adele Wilson-Hope</t>
  </si>
  <si>
    <t>North Northallerton New Primary School 
Re tender</t>
  </si>
  <si>
    <t>Manse Farm, Knaresborough New Primary School
Re tender</t>
  </si>
  <si>
    <t>Water Retail Services (De-regulation of water)</t>
  </si>
  <si>
    <t>HAS/CYPS/CS</t>
  </si>
  <si>
    <t>Advocacy Services :
- Independent Health Complaints
- CYPS Advocacy
- HAS Advocacy</t>
  </si>
  <si>
    <r>
      <rPr>
        <sz val="10"/>
        <color rgb="FF000000"/>
        <rFont val="Calibri"/>
        <family val="2"/>
      </rPr>
      <t>36+</t>
    </r>
    <r>
      <rPr>
        <sz val="10"/>
        <color rgb="FFFF0000"/>
        <rFont val="Calibri"/>
        <family val="2"/>
      </rPr>
      <t>24</t>
    </r>
    <r>
      <rPr>
        <sz val="10"/>
        <color rgb="FF000000"/>
        <rFont val="Calibri"/>
        <family val="2"/>
      </rPr>
      <t>+24</t>
    </r>
  </si>
  <si>
    <t>Ripon Barracks New Primary School</t>
  </si>
  <si>
    <t>CyPS</t>
  </si>
  <si>
    <t xml:space="preserve">Norton Lodge (Malton) New Primary School </t>
  </si>
  <si>
    <t>Therapeutic Support to Adopters and Adoptees (collaborative arrangement)</t>
  </si>
  <si>
    <t>APL Consortium- 15 LA's</t>
  </si>
  <si>
    <t>Conistone Cold / Aire Bridge Feasibility Project</t>
  </si>
  <si>
    <t>Insurance-Linked Securities (ILS)</t>
  </si>
  <si>
    <r>
      <rPr>
        <sz val="10"/>
        <color rgb="FF000000"/>
        <rFont val="Calibri"/>
        <family val="2"/>
      </rPr>
      <t>36+12+12+12+12+</t>
    </r>
    <r>
      <rPr>
        <sz val="10"/>
        <color rgb="FFFF0000"/>
        <rFont val="Calibri"/>
        <family val="2"/>
      </rPr>
      <t>12</t>
    </r>
    <r>
      <rPr>
        <sz val="10"/>
        <color rgb="FF000000"/>
        <rFont val="Calibri"/>
        <family val="2"/>
      </rPr>
      <t>+12+12</t>
    </r>
  </si>
  <si>
    <r>
      <t>36+1+1+1+1+1+</t>
    </r>
    <r>
      <rPr>
        <sz val="10"/>
        <color rgb="FFFF0000"/>
        <rFont val="Calibri"/>
        <family val="2"/>
        <scheme val="minor"/>
      </rPr>
      <t>1</t>
    </r>
    <r>
      <rPr>
        <sz val="10"/>
        <rFont val="Calibri"/>
        <family val="2"/>
        <scheme val="minor"/>
      </rPr>
      <t>+1</t>
    </r>
  </si>
  <si>
    <t>Amanda Alderson</t>
  </si>
  <si>
    <r>
      <t>36+1+1+1+1+1+1+</t>
    </r>
    <r>
      <rPr>
        <sz val="10"/>
        <color rgb="FFFF0000"/>
        <rFont val="Calibri"/>
        <family val="2"/>
        <scheme val="minor"/>
      </rPr>
      <t>1</t>
    </r>
  </si>
  <si>
    <t>Specialist Surfacing</t>
  </si>
  <si>
    <t>3+1+1</t>
  </si>
  <si>
    <t>Levelling Up Fund (LUF) Scarborough Transport Hub / public realm</t>
  </si>
  <si>
    <t>Levelling Up Fund (LUF) Catterick Garrison - civils / public realm</t>
  </si>
  <si>
    <t>Fresh Meat and Frozen Products</t>
  </si>
  <si>
    <r>
      <t>24</t>
    </r>
    <r>
      <rPr>
        <sz val="10"/>
        <color rgb="FFFF0000"/>
        <rFont val="Calibri"/>
        <family val="2"/>
        <scheme val="minor"/>
      </rPr>
      <t>+24</t>
    </r>
  </si>
  <si>
    <t>Initial Term KD taken:15/11/2021, OTE KD taken: TBC</t>
  </si>
  <si>
    <t>Sustainable Warmth</t>
  </si>
  <si>
    <r>
      <rPr>
        <sz val="10"/>
        <color rgb="FF000000"/>
        <rFont val="Calibri"/>
        <family val="2"/>
      </rPr>
      <t>12+</t>
    </r>
    <r>
      <rPr>
        <sz val="10"/>
        <color rgb="FFFF0000"/>
        <rFont val="Calibri"/>
        <family val="2"/>
      </rPr>
      <t>6</t>
    </r>
  </si>
  <si>
    <t>Extra Care Housing - Whitby</t>
  </si>
  <si>
    <t>Levelling Up Fund (LUF) Catterick Garrison - buildings</t>
  </si>
  <si>
    <t xml:space="preserve">Harrogate West Two Primary Schools </t>
  </si>
  <si>
    <t>Supply of Road Salt</t>
  </si>
  <si>
    <t>Supply and potential delivery of waste bins - wheeled</t>
  </si>
  <si>
    <t>yes</t>
  </si>
  <si>
    <t>tbs</t>
  </si>
  <si>
    <t xml:space="preserve">Agency Services </t>
  </si>
  <si>
    <r>
      <rPr>
        <sz val="10"/>
        <color rgb="FF000000"/>
        <rFont val="Calibri"/>
        <family val="2"/>
      </rPr>
      <t>24+</t>
    </r>
    <r>
      <rPr>
        <sz val="10"/>
        <color rgb="FFFF0000"/>
        <rFont val="Calibri"/>
        <family val="2"/>
      </rPr>
      <t>24</t>
    </r>
  </si>
  <si>
    <t>Sarah France-Gorton</t>
  </si>
  <si>
    <t>Health and Adult Services</t>
  </si>
  <si>
    <t>Residential Dementia Care Facility, Cardale Park, Harrogate</t>
  </si>
  <si>
    <t>Hard FM (Lot 1) - Responsive Maintenance with Lot 3 - Alarms 
(to 31/01/2026)</t>
  </si>
  <si>
    <t>Home Upgrade Grant Phase 2 (HUG2)</t>
  </si>
  <si>
    <t>Malton / Norton Pinch Point scheme / Butchers Corner</t>
  </si>
  <si>
    <t>WSP</t>
  </si>
  <si>
    <t>Levelling Up Fund (LUF) Seamer Rail / Road Bridge</t>
  </si>
  <si>
    <t>Levelling Up Fund (LUF) Malton station and public realm between Malton and Norton</t>
  </si>
  <si>
    <t>Local Bus Services and Mainstream Home to School Transport (Craven and Ryedale Areas) - plus additional contract extensions (+ Richmondshire &amp; Harrogate) + Hamb LBS only</t>
  </si>
  <si>
    <t>UK Shared Prosperity Fund and Rural England Prosperity Fund
(see also UKSPF - VCS Partnership Programmes)
(see also Grow Yorkshire - UK Shared Prosperity Fund)</t>
  </si>
  <si>
    <t>Sexual Health</t>
  </si>
  <si>
    <r>
      <rPr>
        <sz val="10"/>
        <color rgb="FF000000"/>
        <rFont val="Calibri"/>
        <family val="2"/>
      </rPr>
      <t>48+</t>
    </r>
    <r>
      <rPr>
        <sz val="10"/>
        <color rgb="FFFF0000"/>
        <rFont val="Calibri"/>
        <family val="2"/>
      </rPr>
      <t>36</t>
    </r>
    <r>
      <rPr>
        <sz val="10"/>
        <color rgb="FF000000"/>
        <rFont val="Calibri"/>
        <family val="2"/>
      </rPr>
      <t>+36</t>
    </r>
  </si>
  <si>
    <t>29/03/2019 &amp; 03/09/2019</t>
  </si>
  <si>
    <t>Emma Davies</t>
  </si>
  <si>
    <t>Purchase of Power (Electricity) (including UMS for street)</t>
  </si>
  <si>
    <t>Martin Simpson</t>
  </si>
  <si>
    <t>Drug &amp; Alcohol Service - Adults - Horizons (Substance Misuse)</t>
  </si>
  <si>
    <t>60+36+24</t>
  </si>
  <si>
    <t>DN366170</t>
  </si>
  <si>
    <r>
      <t>60+</t>
    </r>
    <r>
      <rPr>
        <sz val="10"/>
        <color rgb="FFFF0000"/>
        <rFont val="Calibri"/>
        <family val="2"/>
        <scheme val="minor"/>
      </rPr>
      <t>36</t>
    </r>
    <r>
      <rPr>
        <sz val="10"/>
        <color rgb="FF000000"/>
        <rFont val="Calibri"/>
        <family val="2"/>
        <scheme val="minor"/>
      </rPr>
      <t>+24</t>
    </r>
  </si>
  <si>
    <t>West Yorkshire Combined Authority Transforming Cities Fund
WYCA TCF / Overarching project
Harrogate / Skipton / Selby</t>
  </si>
  <si>
    <t>DN483368</t>
  </si>
  <si>
    <t>DN TBC</t>
  </si>
  <si>
    <t>Healthy Child Programme</t>
  </si>
  <si>
    <r>
      <t>33+</t>
    </r>
    <r>
      <rPr>
        <sz val="10"/>
        <color rgb="FFFF0000"/>
        <rFont val="Calibri"/>
        <family val="2"/>
        <scheme val="minor"/>
      </rPr>
      <t>36</t>
    </r>
    <r>
      <rPr>
        <sz val="10"/>
        <rFont val="Calibri"/>
        <family val="2"/>
        <scheme val="minor"/>
      </rPr>
      <t>+24+24</t>
    </r>
  </si>
  <si>
    <t>Waste Management Services 2015</t>
  </si>
  <si>
    <t>Joanne Kearney</t>
  </si>
  <si>
    <t>Waste Management Services post 2025</t>
  </si>
  <si>
    <t>Carriageway Planing and Surfacing Contractors Framework
(Refresh to current framework exp 31/03/2024)</t>
  </si>
  <si>
    <t>Potential 48</t>
  </si>
  <si>
    <t>Civil Engineering Contractors Framework
(Refresh to current in train framework)</t>
  </si>
  <si>
    <t>Allerton Waste Recovery Park</t>
  </si>
  <si>
    <t>potential for future requirement</t>
  </si>
  <si>
    <t>NYCC Approved Provider List:
 - Supported Living 
 - Nursing &amp; Residential 
 - Home Based Support
 - Community Based Support</t>
  </si>
  <si>
    <t>60+12+12</t>
  </si>
  <si>
    <t xml:space="preserve">HASLT: 25/11/2021 
HAS EX: 10/12/2021
Full Executive: 25/01/2022
HASLT: 07/07/2022 </t>
  </si>
  <si>
    <t>DN562841</t>
  </si>
  <si>
    <t>Communications</t>
  </si>
  <si>
    <t>Media &amp; Communications</t>
  </si>
  <si>
    <t>Multidisciplinary Media Services Framework</t>
  </si>
  <si>
    <t xml:space="preserve"> £20,700.00 GBP (SOW 4)</t>
  </si>
  <si>
    <t>Vanessa Glover</t>
  </si>
  <si>
    <t>Removals and storage services</t>
  </si>
  <si>
    <t>~£200k pa</t>
  </si>
  <si>
    <t xml:space="preserve">Key Decision </t>
  </si>
  <si>
    <t>Property (Estate and Projects) Consultancy Services (Currently Align)</t>
  </si>
  <si>
    <t>Align</t>
  </si>
  <si>
    <t>Libraries</t>
  </si>
  <si>
    <t xml:space="preserve">On-line subscription to Oxford University Press (OUP) electronic resources </t>
  </si>
  <si>
    <t>Chrys Mellor</t>
  </si>
  <si>
    <t xml:space="preserve">Initial Term </t>
  </si>
  <si>
    <t>External Legal Advice</t>
  </si>
  <si>
    <t>Pension Legal Advisors</t>
  </si>
  <si>
    <t>£20k pa</t>
  </si>
  <si>
    <t>Grounds Maintenance</t>
  </si>
  <si>
    <r>
      <rPr>
        <sz val="10"/>
        <color rgb="FF000000"/>
        <rFont val="Calibri"/>
        <family val="2"/>
      </rPr>
      <t>18+</t>
    </r>
    <r>
      <rPr>
        <sz val="10"/>
        <color rgb="FFFF0000"/>
        <rFont val="Calibri"/>
        <family val="2"/>
      </rPr>
      <t>12</t>
    </r>
    <r>
      <rPr>
        <sz val="10"/>
        <color rgb="FF000000"/>
        <rFont val="Calibri"/>
        <family val="2"/>
      </rPr>
      <t>+12</t>
    </r>
  </si>
  <si>
    <t>£300,000 - £600,000</t>
  </si>
  <si>
    <t>Cam Adamson</t>
  </si>
  <si>
    <r>
      <rPr>
        <sz val="10"/>
        <color rgb="FF000000"/>
        <rFont val="Calibri"/>
        <family val="2"/>
      </rPr>
      <t>18+12+</t>
    </r>
    <r>
      <rPr>
        <sz val="10"/>
        <color rgb="FFFF0000"/>
        <rFont val="Calibri"/>
        <family val="2"/>
      </rPr>
      <t>12</t>
    </r>
  </si>
  <si>
    <t>Highways Engineering &amp; Design Consultancy (HEDC) contract (currently WSP)</t>
  </si>
  <si>
    <t>£3-4M PA</t>
  </si>
  <si>
    <t>Infection Control and Prevention</t>
  </si>
  <si>
    <t>£480,424.00 GBP (SOW 9)</t>
  </si>
  <si>
    <r>
      <rPr>
        <sz val="10"/>
        <color rgb="FF000000"/>
        <rFont val="Calibri"/>
        <family val="2"/>
      </rPr>
      <t xml:space="preserve">HASLT: 21/09/2023
</t>
    </r>
    <r>
      <rPr>
        <sz val="10"/>
        <color rgb="FFFF0000"/>
        <rFont val="Calibri"/>
        <family val="2"/>
      </rPr>
      <t>HASEX: 10/11/2023</t>
    </r>
  </si>
  <si>
    <t>Apprenticeship - End Point Assessment [EPA]</t>
  </si>
  <si>
    <t>£50,000 - £60,000</t>
  </si>
  <si>
    <t>Supply, Install &amp; Monitor Fixed CCTV Security Cameras</t>
  </si>
  <si>
    <t>Extra Care Housing - future provision</t>
  </si>
  <si>
    <t>£M</t>
  </si>
  <si>
    <t>key Decision</t>
  </si>
  <si>
    <t>Approved Provider List (APL) - Training</t>
  </si>
  <si>
    <t>Jude Knight</t>
  </si>
  <si>
    <t>Music Service System</t>
  </si>
  <si>
    <r>
      <rPr>
        <sz val="10"/>
        <color rgb="FF000000"/>
        <rFont val="Calibri"/>
        <family val="2"/>
      </rPr>
      <t>12+</t>
    </r>
    <r>
      <rPr>
        <sz val="10"/>
        <color rgb="FFFF0000"/>
        <rFont val="Calibri"/>
        <family val="2"/>
      </rPr>
      <t>12</t>
    </r>
  </si>
  <si>
    <t xml:space="preserve">Growing up in North Yorkshire - survey </t>
  </si>
  <si>
    <r>
      <rPr>
        <sz val="10"/>
        <color rgb="FF000000"/>
        <rFont val="Calibri"/>
        <family val="2"/>
      </rPr>
      <t>120+</t>
    </r>
    <r>
      <rPr>
        <sz val="10"/>
        <color rgb="FFFF0000"/>
        <rFont val="Calibri"/>
        <family val="2"/>
      </rPr>
      <t>48</t>
    </r>
  </si>
  <si>
    <t>Insurance -  Casualty, Motor, Property, Travel/PA and Engineering</t>
  </si>
  <si>
    <t>Fiona Sowerby/ Louise Gigante</t>
  </si>
  <si>
    <t>Fleet hire options appraisal</t>
  </si>
  <si>
    <t>Call recording - support (Currently Redbox)</t>
  </si>
  <si>
    <t>Best Value</t>
  </si>
  <si>
    <t>Adult Learning System (currently provided by Tribal Education Limited)</t>
  </si>
  <si>
    <t>Young Peoples Pathway -Managed Accommodation (Pathway 2 (Foundation)</t>
  </si>
  <si>
    <t>14+6+6</t>
  </si>
  <si>
    <t>Young Peoples Pathway - Prevention &amp; Reconnection (Pathway 1 (Foundation)</t>
  </si>
  <si>
    <t>Shared Lives</t>
  </si>
  <si>
    <t xml:space="preserve">HASLT: 19/05/2021 (Gate 1 06/2022)
HAS EX: 10/03/2023 </t>
  </si>
  <si>
    <t>Financial Accounting Solution for External Clients
(currently Sage, provided by Datel - contract with Boxxe as a re-seller)</t>
  </si>
  <si>
    <t>Arboricultural Services</t>
  </si>
  <si>
    <t>Community Equipment (Medequip)</t>
  </si>
  <si>
    <t>Disabled Childrens Services APL</t>
  </si>
  <si>
    <t>UTC and UTMC System
(currently Siemens)</t>
  </si>
  <si>
    <t>Yunex (Siemens)</t>
  </si>
  <si>
    <t>Health and Safety Management System (2020 PMO Ref: 1053)</t>
  </si>
  <si>
    <t>Stuart Langston (H&amp;S) / Chris Mandiville (PM)</t>
  </si>
  <si>
    <t>DN</t>
  </si>
  <si>
    <t>Corporation Tax Advisers / External Auditors (FNL)</t>
  </si>
  <si>
    <t>Paul Nicholson</t>
  </si>
  <si>
    <t>Corporation Tax Advisers / External Auditors (Brierley Homes)</t>
  </si>
  <si>
    <t>Corporation Tax Advisers / External Auditors (Align Property Partners)</t>
  </si>
  <si>
    <t>SEN Mediation and Disagreement Resolution</t>
  </si>
  <si>
    <t>Treasury Management Investment Consultancy Services  (NYCC, Selby &amp; Ryedale)</t>
  </si>
  <si>
    <t>John Raine</t>
  </si>
  <si>
    <t>Participation Support (previously called Self Advocacy)</t>
  </si>
  <si>
    <t>Street lighting</t>
  </si>
  <si>
    <t>Waste receptacles
LGR Day 1
Waste Fleet Street and Highways (WFSH)</t>
  </si>
  <si>
    <t>Delivery of vehicles
LGR Day 1
Waste Fleet Street and Highways (WFSH)</t>
  </si>
  <si>
    <t>Parts supply / imprest
LGR Day 1
Waste Fleet Street and Highways (WFSH)</t>
  </si>
  <si>
    <t>Highway maintenance gangs</t>
  </si>
  <si>
    <t>Background support for Extra Care provision</t>
  </si>
  <si>
    <t>HR &amp; Payroll System
(currently ResourceLink, provided by Zellis)</t>
  </si>
  <si>
    <t>Supply of PPE and Workwear</t>
  </si>
  <si>
    <t>Structural survey of steel lamp posts</t>
  </si>
  <si>
    <t xml:space="preserve">Weather Forecasting Contract and Weather Station Bureau Service Contract </t>
  </si>
  <si>
    <t>Democratic Services</t>
  </si>
  <si>
    <t xml:space="preserve">Healthwatch </t>
  </si>
  <si>
    <t>Social care</t>
  </si>
  <si>
    <t>Unaccompanied Asylum Seeking Children's Bedspaces</t>
  </si>
  <si>
    <t>Vehicle Telematics
(currently provided by Ctrack)</t>
  </si>
  <si>
    <t>Single View of a Child  (2020 PMO ref: 1869)</t>
  </si>
  <si>
    <t xml:space="preserve">Provision of Foster Care Placements (IFA) </t>
  </si>
  <si>
    <t>Mel Hutchinson / Alan Tucker</t>
  </si>
  <si>
    <t>Internal Audit Services</t>
  </si>
  <si>
    <t>Public Network Computers  - 2088 Public Use of IT Provision</t>
  </si>
  <si>
    <t>circa £50,000.00</t>
  </si>
  <si>
    <t>Map Management System
(currently CAMS, provided by Exegesis)</t>
  </si>
  <si>
    <t>Extension &amp; Variation</t>
  </si>
  <si>
    <t>Harrogate and Rural Alliance - Section 75</t>
  </si>
  <si>
    <t>Dry mixed recycling / transformation into 2024/25</t>
  </si>
  <si>
    <t>MOMO software for CYPS (PMO Ref: 3056)</t>
  </si>
  <si>
    <t>Simon Mason</t>
  </si>
  <si>
    <t>Hard FM (Lot 8) Water Hygiene</t>
  </si>
  <si>
    <t>Hard FM (Lot 4) Lifts</t>
  </si>
  <si>
    <t>Hard FM (Lot 11) Asbestos Analysis</t>
  </si>
  <si>
    <t>Hard FM (Lot 5) Auto Doors</t>
  </si>
  <si>
    <t>Hard FM (Lot 6) Fixed Electrical Inspection / PAT / Stage Lighting</t>
  </si>
  <si>
    <t>Hard FM (Lot 10) PE and External Play</t>
  </si>
  <si>
    <t>Coroners Court Video Conferencing System (includes installation of hardware, support and maintenance)
(provided by Visavvi; contract with Softcat as a re-seller)</t>
  </si>
  <si>
    <t>Survey Software
(currently provided by Snap Surveys)</t>
  </si>
  <si>
    <t>e-Democracy System (Old PMO Ref: 2151)
(currently Modern.Gov, provided by Civica)</t>
  </si>
  <si>
    <t>Subscription</t>
  </si>
  <si>
    <t>Municipal Journal Subscription (MJ)</t>
  </si>
  <si>
    <t>Amanda Fry</t>
  </si>
  <si>
    <t>Youth Justice Case Management System currently Careworks, provided by OneAdvanced</t>
  </si>
  <si>
    <t>Social Action Digital Solution
(currently Tribe, provided by Bronze Software Labs)</t>
  </si>
  <si>
    <t>Cath Ritchie</t>
  </si>
  <si>
    <t>DN494171</t>
  </si>
  <si>
    <t>Interpretation Services (British Sign Language/ Non Spoken)</t>
  </si>
  <si>
    <t>DN510379</t>
  </si>
  <si>
    <t xml:space="preserve">Interpretation Services - Written Translation Including Braille </t>
  </si>
  <si>
    <t>Interpretation Services - Face to Face and Video &amp; Telephone Interpreting</t>
  </si>
  <si>
    <t xml:space="preserve">NYCC Personalised Learning and Adult Learning - Supported Internships Approved Provider List </t>
  </si>
  <si>
    <t>NYCC Personalised Learning and Adult Learning - High Needs Study Programme Approved Provider List</t>
  </si>
  <si>
    <t>Password Self Provisioning - Courion</t>
  </si>
  <si>
    <t>SSPR - support</t>
  </si>
  <si>
    <t>Growing up in North Yorkshire - Learning and Wellbeing Surveys</t>
  </si>
  <si>
    <t>Contract for Pensions Tracing and Mortality Services</t>
  </si>
  <si>
    <t>Young Peoples Pathway
Prevention &amp; Reconnection (Pathway 1 (Foundation)
Managed Accommodation (Pathway 2 (Foundation)
Emergency &amp; Extended Supported Lodgings (Pathway 2 (SASH))</t>
  </si>
  <si>
    <t>County Hall - Alternative heating</t>
  </si>
  <si>
    <t>Alarms - Contract variation via Lot 1</t>
  </si>
  <si>
    <t>Purchasing Cards</t>
  </si>
  <si>
    <t xml:space="preserve">Paul Nicholson </t>
  </si>
  <si>
    <t xml:space="preserve"> NY H </t>
  </si>
  <si>
    <t>Cash Collection service for schools/customers</t>
  </si>
  <si>
    <t>Historic Environment Record System (PMO Ref: 3024)
(currently provided by Exegesis) Now PMO Ref: 3178</t>
  </si>
  <si>
    <t>EDRMS Support (Electronic Document and Records Management System)</t>
  </si>
  <si>
    <t>Daisy Corporate Services Trading Limited</t>
  </si>
  <si>
    <t>Supported Living - immediate needs</t>
  </si>
  <si>
    <t>HASLT: 16/06/2022</t>
  </si>
  <si>
    <t>DN573174</t>
  </si>
  <si>
    <t>Telephony - Corporate Mobile Phones - Smartphone and basic mobile contracts</t>
  </si>
  <si>
    <t>Previously taken 24/09/2021</t>
  </si>
  <si>
    <t>Corporate Anti-Virus 
(currently Trend Micro, provided under contract with Softcat)</t>
  </si>
  <si>
    <t>Storage- Long term deep storage for archive materials</t>
  </si>
  <si>
    <t>Margaret Boustead</t>
  </si>
  <si>
    <t>Reporting system - Aqua (ProAchieve)</t>
  </si>
  <si>
    <t>Louise Woodward</t>
  </si>
  <si>
    <t xml:space="preserve">Angel Solution - Pendulum &amp; Broadcast &amp; Watchsted Inspector Modules </t>
  </si>
  <si>
    <t>Mobile Phone Forensic Licensing (currently with Celebrite)</t>
  </si>
  <si>
    <t>Innovation Catering Concept</t>
  </si>
  <si>
    <t>NYNET Solutions Agreement / Corporate WAN
(currently Nynet)</t>
  </si>
  <si>
    <t xml:space="preserve">Contracts signed. Call-off to be reviewed within 3 months of expiry to ensure it continues. </t>
  </si>
  <si>
    <t>Insurance and Claims Management System (PMO Ref: 1587)
(currently EvoClaim, provided by DWF 360)</t>
  </si>
  <si>
    <t>MANY (ANPR Cameras)</t>
  </si>
  <si>
    <t>Jon Savage / John Kelly</t>
  </si>
  <si>
    <t>Microsoft Licencing Solution Partner for Campus Agreement, Server and Cloud Enrolment and Enterprise Subscription Agreement.</t>
  </si>
  <si>
    <t>Gordon Atkin</t>
  </si>
  <si>
    <t xml:space="preserve">Public Health GP Provider List </t>
  </si>
  <si>
    <t xml:space="preserve">Public Health Pharmacy Provider List </t>
  </si>
  <si>
    <t>Pensions Custodian Services (ancillary services)</t>
  </si>
  <si>
    <t>Call-Off from Framework Agreement 30012. Automated Collection and Analysis of Carriageway Condition Data Services</t>
  </si>
  <si>
    <t xml:space="preserve">Corporate CRM (Customer Relationship Management) System </t>
  </si>
  <si>
    <t>Anti Virus - Schools (currently Sophos)</t>
  </si>
  <si>
    <t>Nic Watters / Keren Wild</t>
  </si>
  <si>
    <t>Purchase of Gas
Utilities Broker (Gas)</t>
  </si>
  <si>
    <t>Pobble - Pupil Engagement tool</t>
  </si>
  <si>
    <t>Contract signed. Complete</t>
  </si>
  <si>
    <t>Outbreak Management System Support and Maintenance</t>
  </si>
  <si>
    <t xml:space="preserve">Hard FM (Lot 7) - Chimneys, Lighting Conductors </t>
  </si>
  <si>
    <t xml:space="preserve">Hard FM (Lot 9) - Fire Equipment </t>
  </si>
  <si>
    <t xml:space="preserve">Hard FM (Lot 12) - Asbestos Abatement </t>
  </si>
  <si>
    <t>Security portfolio partner - Next Gen Firewall (Currently Palo Alto)</t>
  </si>
  <si>
    <t>NO</t>
  </si>
  <si>
    <t>Subscription to CollectionHQ</t>
  </si>
  <si>
    <t>Citrix Virtual Apps and Desktop (software assurance and support)</t>
  </si>
  <si>
    <t>Communications, Technology and Business Transformation</t>
  </si>
  <si>
    <t>Provision of software license, support and maintenance for Idox Uniform system</t>
  </si>
  <si>
    <t>Tim Sedman</t>
  </si>
  <si>
    <t>Mailroom Equipment and Associated Software Services and Consumables</t>
  </si>
  <si>
    <t xml:space="preserve">Hard FM (Lot 1) - Responsive Maintenance with Lot 3 - Alarms </t>
  </si>
  <si>
    <t>DN533207</t>
  </si>
  <si>
    <t>Case and Quality Management System
(currently BlackRainbow, under contract with Avatu Ltd as a reseller)</t>
  </si>
  <si>
    <t>Citrix ADC Software (includes hardware, support and maintenance)
(currently contract with Softcat as a re-seller)</t>
  </si>
  <si>
    <t>Costs are based on £9,700 initial fees and £20,471 per annum (fixed for 3 years).  There is the option to upgrade to the Cx model within the contract - additional charges will apply.</t>
  </si>
  <si>
    <t>Framework Agreement Automated Collection and Analysis of Carriageway Condition Data Services</t>
  </si>
  <si>
    <t>Complex Contract Management System
(currently provided by Affinitext)</t>
  </si>
  <si>
    <t>Shared Cost Additional Voluntary Contribution Schemes (SCAVC’s) (Everybody Benefits - Salary Sacrifice add on)</t>
  </si>
  <si>
    <t>HR Recruitment Main Admin System</t>
  </si>
  <si>
    <t>Commercial Real Estate (Property) Debt</t>
  </si>
  <si>
    <t xml:space="preserve">Assessments and provision of independent speech and language therapists, occupational therapists and physiotherapists </t>
  </si>
  <si>
    <t xml:space="preserve">Strategic Analysis Assessment for Housing </t>
  </si>
  <si>
    <t>Hannah Cook</t>
  </si>
  <si>
    <t>Educational visit software - risk assessment tool for school visits - evolve - edubase</t>
  </si>
  <si>
    <t>General Building Materials supply</t>
  </si>
  <si>
    <t>Katie Longstaff</t>
  </si>
  <si>
    <t>Redesign and construction of HWRC Stonefall, Wetherby Road A661, Harrogate</t>
  </si>
  <si>
    <t>Strategy and Performance</t>
  </si>
  <si>
    <t>CFO Insights - Data Analysis Tool</t>
  </si>
  <si>
    <t xml:space="preserve"> TBC </t>
  </si>
  <si>
    <t>Facilities &amp; Management Services</t>
  </si>
  <si>
    <t>Initial</t>
  </si>
  <si>
    <r>
      <t>24+</t>
    </r>
    <r>
      <rPr>
        <sz val="11"/>
        <color rgb="FFFF0000"/>
        <rFont val="Calibri"/>
        <family val="2"/>
        <scheme val="minor"/>
      </rPr>
      <t>12</t>
    </r>
  </si>
  <si>
    <r>
      <t>24+12+</t>
    </r>
    <r>
      <rPr>
        <sz val="11"/>
        <color rgb="FFFF0000"/>
        <rFont val="Calibri"/>
        <family val="2"/>
        <scheme val="minor"/>
      </rPr>
      <t>12</t>
    </r>
  </si>
  <si>
    <t>12+12+12+12</t>
  </si>
  <si>
    <t>Energy Efficiency Grant Management</t>
  </si>
  <si>
    <t>Yorkshire Energy Services</t>
  </si>
  <si>
    <t>Serena Williams</t>
  </si>
  <si>
    <t>Approx 5k spend annually 10% of £50,000 grant retained by YES for administration. This agreement is for 01/04/22 to 30/09/23, but been contracting for five year, in total and advised 2 further quotes should have been sought. Service area proceeded with this SLA.</t>
  </si>
  <si>
    <t xml:space="preserve">Network maintenance &amp; security </t>
  </si>
  <si>
    <t>Razorblue</t>
  </si>
  <si>
    <t>Powerworks Maintenance Services Ltd</t>
  </si>
  <si>
    <t>Centralised printing</t>
  </si>
  <si>
    <t>Terminal Services Support contract</t>
  </si>
  <si>
    <t>Elitetele.com PLC (NetCentrix)</t>
  </si>
  <si>
    <t>Customer Services</t>
  </si>
  <si>
    <t>Marcus Lee</t>
  </si>
  <si>
    <t>Server, Storage and Backup Infrastructure Renewal</t>
  </si>
  <si>
    <t>Insight Direct (UK) Limited</t>
  </si>
  <si>
    <t>Howard Wallis</t>
  </si>
  <si>
    <t>EDM Software (Workflow)</t>
  </si>
  <si>
    <t>Civica Workflow 360</t>
  </si>
  <si>
    <t>Category</t>
  </si>
  <si>
    <t>Tiering</t>
  </si>
  <si>
    <t>FY2021Q3</t>
  </si>
  <si>
    <t>Book and Media Library Supplies</t>
  </si>
  <si>
    <r>
      <t>36+</t>
    </r>
    <r>
      <rPr>
        <sz val="11"/>
        <color rgb="FFFF0000"/>
        <rFont val="Calibri"/>
        <family val="2"/>
        <scheme val="minor"/>
      </rPr>
      <t>12</t>
    </r>
  </si>
  <si>
    <t xml:space="preserve">DN436995 </t>
  </si>
  <si>
    <r>
      <t>12+12+</t>
    </r>
    <r>
      <rPr>
        <sz val="11"/>
        <color rgb="FFFF0000"/>
        <rFont val="Calibri"/>
        <family val="2"/>
        <scheme val="minor"/>
      </rPr>
      <t>12</t>
    </r>
  </si>
  <si>
    <t xml:space="preserve">Nicola Pearson </t>
  </si>
  <si>
    <t>Vicky Moss</t>
  </si>
  <si>
    <t xml:space="preserve">IBM i2 (iBase and Designer) </t>
  </si>
  <si>
    <t>Ritch Baine / Jonathan (David) Miller/Nick Leggott</t>
  </si>
  <si>
    <t>Graham Pearey</t>
  </si>
  <si>
    <t>Tracey Palmer</t>
  </si>
  <si>
    <t>Trimble licences, support and maintenance</t>
  </si>
  <si>
    <t xml:space="preserve">Forensic coding </t>
  </si>
  <si>
    <r>
      <t>36+</t>
    </r>
    <r>
      <rPr>
        <sz val="11"/>
        <color rgb="FFFF0000"/>
        <rFont val="Calibri"/>
        <family val="2"/>
        <scheme val="minor"/>
      </rPr>
      <t>24</t>
    </r>
  </si>
  <si>
    <t>Louise Gigante</t>
  </si>
  <si>
    <t>Patricia Murphy</t>
  </si>
  <si>
    <t>Year 1: £127,000
Year 2:   £31,000
Year 3:   £31,000
Year 4:   £31,000
Year 5:   £36,000</t>
  </si>
  <si>
    <t>DN419294</t>
  </si>
  <si>
    <t>Just Checking' Service - Activity monitoring services (hardware &amp; software)</t>
  </si>
  <si>
    <t>Sophie Midcalf</t>
  </si>
  <si>
    <t>gold</t>
  </si>
  <si>
    <t>DN406188</t>
  </si>
  <si>
    <t>DN304439</t>
  </si>
  <si>
    <t>UPS Maintenance</t>
  </si>
  <si>
    <t>DN516707</t>
  </si>
  <si>
    <t>Provision of Pre-packaged Sandwiches and Associated Products</t>
  </si>
  <si>
    <t>Kayte Sexton / Shaun Mancrief</t>
  </si>
  <si>
    <t>Antonia Smith</t>
  </si>
  <si>
    <t>Yr 1: £30,305
Yrs 2&amp;3: £30,000</t>
  </si>
  <si>
    <t>Katie Thomas</t>
  </si>
  <si>
    <t>DN417989 (Proactis H4E) &amp; DN426624 (YORtender)</t>
  </si>
  <si>
    <t>Microphone and Speaker System in the Grand Committee Room</t>
  </si>
  <si>
    <t>Jon Holden/Karen Adamson</t>
  </si>
  <si>
    <t>Tom Morrision</t>
  </si>
  <si>
    <t xml:space="preserve">Pensions Investment Accounting &amp; Performance Monitoring </t>
  </si>
  <si>
    <t>Qingzi Bu/ Tom Morrision</t>
  </si>
  <si>
    <t>Kim Trenholme/Paul Nicholson</t>
  </si>
  <si>
    <t>Emma Richards</t>
  </si>
  <si>
    <t>12 months</t>
  </si>
  <si>
    <t>Karen Wilson</t>
  </si>
  <si>
    <t>DN212852</t>
  </si>
  <si>
    <t>GSM Gateway</t>
  </si>
  <si>
    <t>Katie Privett</t>
  </si>
  <si>
    <t>DN520757</t>
  </si>
  <si>
    <t>Desk Booking System (2020 PMO Ref: 3022)
(currently Rendezvous, provided by NFS Technology)</t>
  </si>
  <si>
    <t>12+6</t>
  </si>
  <si>
    <t>Linda Wilson</t>
  </si>
  <si>
    <t>Wheelchair tie-downs and Occupant Restraints</t>
  </si>
  <si>
    <t>Waste, Highways, Parking &amp; Street Scene</t>
  </si>
  <si>
    <t>Tim Coyne</t>
  </si>
  <si>
    <t>2022/11/01 Query raised to AGa
2022/04/29 New scheme highlevel notification, limited detail, tiering to be done</t>
  </si>
  <si>
    <t>Highways &amp; Transportation</t>
  </si>
  <si>
    <t>Neil Linfoot</t>
  </si>
  <si>
    <t>Contents Matrix (Sharepoint Migration)</t>
  </si>
  <si>
    <t>DN411604</t>
  </si>
  <si>
    <t>Data Hosting Solution - Currently Moodle</t>
  </si>
  <si>
    <t>Interim Chief Digitial Officer as a service</t>
  </si>
  <si>
    <t>Neil Bartram</t>
  </si>
  <si>
    <t>Silas Holland</t>
  </si>
  <si>
    <t>Annabel MacGregor</t>
  </si>
  <si>
    <t>SLA</t>
  </si>
  <si>
    <t>Stationery</t>
  </si>
  <si>
    <t>bid</t>
  </si>
  <si>
    <t>Banking Services</t>
  </si>
  <si>
    <t>Victoria Solutions Limited t/as Victoria Forms</t>
  </si>
  <si>
    <t>Utilities Broker (Mains Gas)</t>
  </si>
  <si>
    <t>Corona Energy Retail 4 Ltd</t>
  </si>
  <si>
    <t>Call off received excuted 05.03.21. Rosy informed Rob Harper is the signatory.</t>
  </si>
  <si>
    <t>Chief Executive</t>
  </si>
  <si>
    <t>Electoral Registration and Election Management System Maintenance</t>
  </si>
  <si>
    <t>Idox Elections (Halarose)</t>
  </si>
  <si>
    <t>Supply of Liquid Fuels</t>
  </si>
  <si>
    <t>Certas Energy Ltd</t>
  </si>
  <si>
    <t>IVR Canvass Telephone/SMS/Web Response Service</t>
  </si>
  <si>
    <t xml:space="preserve"> n/a </t>
  </si>
  <si>
    <t>Jo Dogson sent 2022/23 renewal, end date now 23/5/23Possible no DPA in place.</t>
  </si>
  <si>
    <t>Rolling</t>
  </si>
  <si>
    <t>Lloyds</t>
  </si>
  <si>
    <t xml:space="preserve">Framework </t>
  </si>
  <si>
    <t>Scarborough Borough Council</t>
  </si>
  <si>
    <t>Liquid Fuels</t>
  </si>
  <si>
    <t>Further Comp - External</t>
  </si>
  <si>
    <t>Market Town Wi Fi</t>
  </si>
  <si>
    <t>Ryecare Call Handling System Upgrade</t>
  </si>
  <si>
    <t>Tunstall Healthcare (UK) Limited</t>
  </si>
  <si>
    <t>Website Redesign and Hosting</t>
  </si>
  <si>
    <t>Mixd</t>
  </si>
  <si>
    <t>Margaret Wallace</t>
  </si>
  <si>
    <t>Allpay Payment Services</t>
  </si>
  <si>
    <t>Allpay Limited</t>
  </si>
  <si>
    <t>Keiran Owen / Marcus Lee</t>
  </si>
  <si>
    <t>14.12.22. Confirmation letter received  from supplier for one year extension. 16.11.22, Keiran informed we are to take the extension, confirmed with workstream. Direct award call off from NHC. Margaret Wallace signed 10.06.21</t>
  </si>
  <si>
    <t>Homelessness Software</t>
  </si>
  <si>
    <t>Housing Partners</t>
  </si>
  <si>
    <t>Sarah Witteringham</t>
  </si>
  <si>
    <t>Planning and Regulatory Services</t>
  </si>
  <si>
    <t>Rachael Balmer</t>
  </si>
  <si>
    <t>Cash Collection &amp; Cash in Transit Services</t>
  </si>
  <si>
    <t>Security Plus</t>
  </si>
  <si>
    <t>PARs License</t>
  </si>
  <si>
    <t>SuperSys IT Services Ltd</t>
  </si>
  <si>
    <t>Careers Advice and guidance</t>
  </si>
  <si>
    <t>Carey Bilton</t>
  </si>
  <si>
    <t>Landline Telephony</t>
  </si>
  <si>
    <t>Bridge and Structure Asset Management System
(currently provided by AMX)</t>
  </si>
  <si>
    <t>Office Supplies</t>
  </si>
  <si>
    <t xml:space="preserve">Banner </t>
  </si>
  <si>
    <t>Direct award via YPO office supplies framework. Call off start date is now 01/09/21. Call off executed 10.09.21</t>
  </si>
  <si>
    <t>DMG Food Safety Solutions Ltd</t>
  </si>
  <si>
    <t>Robert Robinson</t>
  </si>
  <si>
    <t>Secure File Transfer System for Early Year Provider Data
(currently AnyComms Plus, provided by AVCO Systems)</t>
  </si>
  <si>
    <t>Council Tax Bill Printing</t>
  </si>
  <si>
    <t>CFH Docmail Ltd</t>
  </si>
  <si>
    <t>BVF</t>
  </si>
  <si>
    <t>WebEros Annual Support and Maintenance</t>
  </si>
  <si>
    <t>Broadcom (via OpenReality) software support</t>
  </si>
  <si>
    <t>Wireless Network Maintenance</t>
  </si>
  <si>
    <t>Digital Signatures System
(currently SigningHub, provided by Ascertia)</t>
  </si>
  <si>
    <t xml:space="preserve">
DN503801</t>
  </si>
  <si>
    <t>IT Health Checks</t>
  </si>
  <si>
    <t>Footfall Analysis Licence</t>
  </si>
  <si>
    <t>Huq</t>
  </si>
  <si>
    <t>Desk Booking Software</t>
  </si>
  <si>
    <t>Smartway2 Limited</t>
  </si>
  <si>
    <t>Palbinder Mann</t>
  </si>
  <si>
    <t>Desktop anti-virus</t>
  </si>
  <si>
    <t>27.01.2023 Tim informed licence renewed. Extend licence for 12 months. Tim Sedman informed this is reviewed annually, AVG continues to be easily cheapest whilst meeting operational requirements</t>
  </si>
  <si>
    <t>DN532476</t>
  </si>
  <si>
    <t>Radio Maintenance</t>
  </si>
  <si>
    <t>Server Hardware Maintenance</t>
  </si>
  <si>
    <t>Swivel 2FA - support (via Axial) Software support</t>
  </si>
  <si>
    <t>Email Archive Quest Software support</t>
  </si>
  <si>
    <t>Collections Management System (Calm)</t>
  </si>
  <si>
    <t>People/Business search tool - subscription</t>
  </si>
  <si>
    <t>Vulnerability Manager software / License (Rapid7 Nexpose)</t>
  </si>
  <si>
    <t>GoLoader Product (map loading back office)</t>
  </si>
  <si>
    <t>no</t>
  </si>
  <si>
    <t xml:space="preserve">Primo (ex-Tharsterns) </t>
  </si>
  <si>
    <t>Nick Leggott/John Metcalfe</t>
  </si>
  <si>
    <t>Teamviewer - Licensing and support (renew)</t>
  </si>
  <si>
    <t>SFTP Support - Ipswitch</t>
  </si>
  <si>
    <t>Service area led.</t>
  </si>
  <si>
    <t>Aircheck - support</t>
  </si>
  <si>
    <t>T Elsey Tyres LTD</t>
  </si>
  <si>
    <t>Pest Control</t>
  </si>
  <si>
    <t>Karen Adamson</t>
  </si>
  <si>
    <t>Subscription to IHS https://global.ihs.com/</t>
  </si>
  <si>
    <t>Cloud Backup Service for Schools
(currently provided by Redstor through Softcat)</t>
  </si>
  <si>
    <t>Public Health Medicines Optimisation Advisory Service</t>
  </si>
  <si>
    <t>Library Coffee Vending Machines (public use)</t>
  </si>
  <si>
    <t>Chyrs Mellor</t>
  </si>
  <si>
    <t>Spend Analytics - Illuminator</t>
  </si>
  <si>
    <t>DN570564</t>
  </si>
  <si>
    <t>ePEP Virtual School Project</t>
  </si>
  <si>
    <t>Pamela Hogg</t>
  </si>
  <si>
    <t>Date on FPP</t>
  </si>
  <si>
    <t xml:space="preserve">Contract title </t>
  </si>
  <si>
    <t>Current Supplier (if applicable)</t>
  </si>
  <si>
    <t>Completed Q / Date of Lead Officer update/review (DD/MM/YYYY)</t>
  </si>
  <si>
    <t>Domiciliary Care Framework (Harrogate and Selby)</t>
  </si>
  <si>
    <t>DN442629</t>
  </si>
  <si>
    <r>
      <t>12+</t>
    </r>
    <r>
      <rPr>
        <sz val="11"/>
        <color rgb="FFFF0000"/>
        <rFont val="Calibri"/>
        <family val="2"/>
        <scheme val="minor"/>
      </rPr>
      <t>12</t>
    </r>
  </si>
  <si>
    <t>School's ICT</t>
  </si>
  <si>
    <t>FY2122Q4</t>
  </si>
  <si>
    <t>Completed.</t>
  </si>
  <si>
    <t>Dale Owens / Abi Barron</t>
  </si>
  <si>
    <t>Jane Le Sage</t>
  </si>
  <si>
    <t>Gary Fielding</t>
  </si>
  <si>
    <t>FY2021Q4</t>
  </si>
  <si>
    <t>Pensions Independent Investment Advisor</t>
  </si>
  <si>
    <t>DN405478</t>
  </si>
  <si>
    <t>FY2122Q2</t>
  </si>
  <si>
    <t>DN418717</t>
  </si>
  <si>
    <t>Adrian Clarke/Julie Pattinson</t>
  </si>
  <si>
    <t>Simon Swann</t>
  </si>
  <si>
    <t>Further Competition</t>
  </si>
  <si>
    <t xml:space="preserve">Dale Owens </t>
  </si>
  <si>
    <t>Speech and language therapy service - commissioning of specialist  therapists</t>
  </si>
  <si>
    <t>Janice Nicholson</t>
  </si>
  <si>
    <t>Ed Whitaker</t>
  </si>
  <si>
    <t>DN388697</t>
  </si>
  <si>
    <t>FY2122Q3</t>
  </si>
  <si>
    <t>Completed</t>
  </si>
  <si>
    <t>3 + 2 + 2</t>
  </si>
  <si>
    <t>Complete</t>
  </si>
  <si>
    <t>DN395478</t>
  </si>
  <si>
    <t xml:space="preserve">Completed. </t>
  </si>
  <si>
    <t>FY2122Q1</t>
  </si>
  <si>
    <t>DN516126</t>
  </si>
  <si>
    <r>
      <t>24+</t>
    </r>
    <r>
      <rPr>
        <sz val="11"/>
        <color rgb="FFFF0000"/>
        <rFont val="Calibri"/>
        <family val="2"/>
        <scheme val="minor"/>
      </rPr>
      <t>24</t>
    </r>
  </si>
  <si>
    <t>closed</t>
  </si>
  <si>
    <r>
      <t>48+</t>
    </r>
    <r>
      <rPr>
        <sz val="11"/>
        <color rgb="FFFF0000"/>
        <rFont val="Calibri"/>
        <family val="2"/>
        <scheme val="minor"/>
      </rPr>
      <t>24</t>
    </r>
  </si>
  <si>
    <t>DN430304</t>
  </si>
  <si>
    <r>
      <t>24+</t>
    </r>
    <r>
      <rPr>
        <sz val="11"/>
        <color theme="1"/>
        <rFont val="Calibri"/>
        <family val="2"/>
        <scheme val="minor"/>
      </rPr>
      <t>12</t>
    </r>
    <r>
      <rPr>
        <sz val="11"/>
        <rFont val="Calibri"/>
        <family val="2"/>
        <scheme val="minor"/>
      </rPr>
      <t>+</t>
    </r>
    <r>
      <rPr>
        <sz val="11"/>
        <color rgb="FFFF0000"/>
        <rFont val="Calibri"/>
        <family val="2"/>
        <scheme val="minor"/>
      </rPr>
      <t>12</t>
    </r>
  </si>
  <si>
    <t>DN426497</t>
  </si>
  <si>
    <t xml:space="preserve">Lorena Philips / Julie Bunn </t>
  </si>
  <si>
    <t>DN397068</t>
  </si>
  <si>
    <t>Removals services</t>
  </si>
  <si>
    <t>DN358533</t>
  </si>
  <si>
    <t>6</t>
  </si>
  <si>
    <t>Aruba WiFi  (via Khipu) Hardware replacement and software support</t>
  </si>
  <si>
    <t>CLOSED</t>
  </si>
  <si>
    <t xml:space="preserve">Signed and completed </t>
  </si>
  <si>
    <t>60+36</t>
  </si>
  <si>
    <t xml:space="preserve">Contract signed. </t>
  </si>
  <si>
    <t>6+6</t>
  </si>
  <si>
    <t>Phillippa Cockerill/Jo Wade</t>
  </si>
  <si>
    <t>DN408771</t>
  </si>
  <si>
    <t>Natalie Cronin</t>
  </si>
  <si>
    <t>Pauline Smurthwaite/Sarah Morton</t>
  </si>
  <si>
    <t>Financial Services/Insurance</t>
  </si>
  <si>
    <t>FY2223Q2</t>
  </si>
  <si>
    <t>DN379371</t>
  </si>
  <si>
    <t>Egress secure email - licensing</t>
  </si>
  <si>
    <t>Order form signed. Complete</t>
  </si>
  <si>
    <r>
      <t>12+</t>
    </r>
    <r>
      <rPr>
        <sz val="11"/>
        <color rgb="FFFF0000"/>
        <rFont val="Calibri"/>
        <family val="2"/>
      </rPr>
      <t>12</t>
    </r>
  </si>
  <si>
    <t>DN190791</t>
  </si>
  <si>
    <t>After 2020</t>
  </si>
  <si>
    <t>DN537296</t>
  </si>
  <si>
    <t>48+24</t>
  </si>
  <si>
    <t>Carly Walker</t>
  </si>
  <si>
    <t>complete</t>
  </si>
  <si>
    <t>Continue</t>
  </si>
  <si>
    <t>HP 10504 Core Switch - support</t>
  </si>
  <si>
    <t>HP 5900 (Datacentre &amp; DR) - support</t>
  </si>
  <si>
    <r>
      <t>12+</t>
    </r>
    <r>
      <rPr>
        <sz val="11"/>
        <color rgb="FFFF0000"/>
        <rFont val="Calibri"/>
        <family val="2"/>
        <scheme val="minor"/>
      </rPr>
      <t>12</t>
    </r>
    <r>
      <rPr>
        <sz val="11"/>
        <rFont val="Calibri"/>
        <family val="2"/>
        <scheme val="minor"/>
      </rPr>
      <t>+12</t>
    </r>
  </si>
  <si>
    <t xml:space="preserve">NA  </t>
  </si>
  <si>
    <t>Ruth Chester</t>
  </si>
  <si>
    <t>DN450159</t>
  </si>
  <si>
    <t>Micro Drainage licences, support and maintenance</t>
  </si>
  <si>
    <t>12 + 12</t>
  </si>
  <si>
    <t>Budget planning tool for schools</t>
  </si>
  <si>
    <t>DN509166</t>
  </si>
  <si>
    <t>John Kelly</t>
  </si>
  <si>
    <r>
      <t>24+</t>
    </r>
    <r>
      <rPr>
        <sz val="11"/>
        <color rgb="FFFF0000"/>
        <rFont val="Calibri"/>
        <family val="2"/>
        <scheme val="minor"/>
      </rPr>
      <t>12</t>
    </r>
    <r>
      <rPr>
        <sz val="11"/>
        <rFont val="Calibri"/>
        <family val="2"/>
        <scheme val="minor"/>
      </rPr>
      <t>+12</t>
    </r>
  </si>
  <si>
    <t>William Burchill</t>
  </si>
  <si>
    <t>LEP Careers Advice</t>
  </si>
  <si>
    <t>12+12+12+12+12</t>
  </si>
  <si>
    <t>Review needed to see if longer term contract could be established. Potential issue on cumulative spend.</t>
  </si>
  <si>
    <t>Jayne Charlton</t>
  </si>
  <si>
    <t>CLosed</t>
  </si>
  <si>
    <t>Special Educational Needs Home to School Transport - x6 schools (Brompton Hall, Forest, Forest Moor, Marchbank, Springwater, Woodlands)</t>
  </si>
  <si>
    <t>Project completed.
Initial contract periods are as follows with 2 x 12 month extension.
Sep 21 - Jul 23 (Brompton Hall and Forest Moor)
Sep 21 - Mar 24 (The Forest, Marchbank, Springwateer and Woodlands)
Intention is for DPS to be used for these in the future.</t>
  </si>
  <si>
    <t>Purchase and/or Contract Hire of Vehicles</t>
  </si>
  <si>
    <t>Oracle E-Business Suite - Third Party Support and Maintenance (PMO Ref: 3071)</t>
  </si>
  <si>
    <t>DN485085</t>
  </si>
  <si>
    <t>Jon-Pierre Winlow (Bridges)</t>
  </si>
  <si>
    <t>Leader in adult care</t>
  </si>
  <si>
    <t>Training and Learning</t>
  </si>
  <si>
    <t>DN535406</t>
  </si>
  <si>
    <t>DN457780</t>
  </si>
  <si>
    <t>Np</t>
  </si>
  <si>
    <t>Alison Clarke</t>
  </si>
  <si>
    <t>Karen Hebron</t>
  </si>
  <si>
    <t>2 months</t>
  </si>
  <si>
    <t>DN517275</t>
  </si>
  <si>
    <t>Gordon Milne</t>
  </si>
  <si>
    <t>Ben Savage</t>
  </si>
  <si>
    <t>1</t>
  </si>
  <si>
    <t>FY2223 Q3</t>
  </si>
  <si>
    <t>Chris Taylor</t>
  </si>
  <si>
    <t>e-Democracy System (PMO Rerf: 2151)
(currently Modern.Gov, provided by Civica)</t>
  </si>
  <si>
    <t>60 + 24 + 24 + 12</t>
  </si>
  <si>
    <t>Direct Award Framework</t>
  </si>
  <si>
    <t>Nick Kynman</t>
  </si>
  <si>
    <t>DN542697</t>
  </si>
  <si>
    <t>Performance Management System</t>
  </si>
  <si>
    <t>Ideagen Gael Ltd (Pentana)</t>
  </si>
  <si>
    <t>1 year rolling</t>
  </si>
  <si>
    <t>DN545512</t>
  </si>
  <si>
    <t>Microsoft 365 Licenses</t>
  </si>
  <si>
    <t>boxxe Limited</t>
  </si>
  <si>
    <t>ITB</t>
  </si>
  <si>
    <t>DN502961</t>
  </si>
  <si>
    <t>Insurance (Brokerage)</t>
  </si>
  <si>
    <t>Marsh Ltd</t>
  </si>
  <si>
    <t>YPO Framework</t>
  </si>
  <si>
    <t>CCS Framework</t>
  </si>
  <si>
    <t xml:space="preserve"> Waste and Environmental Services </t>
  </si>
  <si>
    <t>Janine Tranmer</t>
  </si>
  <si>
    <t>10</t>
  </si>
  <si>
    <t>DN408853</t>
  </si>
  <si>
    <t>DBA Managed Service</t>
  </si>
  <si>
    <t>Contract signed</t>
  </si>
  <si>
    <t>13+12+12</t>
  </si>
  <si>
    <t>DN344997</t>
  </si>
  <si>
    <t>Case Management System 
(currently Careworks, provided by OneAdvanced through Softcat) (2020 Ref:1940)</t>
  </si>
  <si>
    <t>Adam Grey</t>
  </si>
  <si>
    <t>DN331392</t>
  </si>
  <si>
    <t>Area 4 Claxton R&amp;R</t>
  </si>
  <si>
    <t>Call off - Carriageway Planing &amp; Surfacing Contractors Framework (CPSCF) 2016</t>
  </si>
  <si>
    <t xml:space="preserve">Patricia Murphy </t>
  </si>
  <si>
    <t>N</t>
  </si>
  <si>
    <t>DN282919</t>
  </si>
  <si>
    <t>A59 Kex Gill Diversion - Ground Investigation</t>
  </si>
  <si>
    <t>Colin Quinn</t>
  </si>
  <si>
    <t>DN290500</t>
  </si>
  <si>
    <t>A63 Swing Bridge
Repainting of the structure</t>
  </si>
  <si>
    <t>Call off - Painting Contractors Framework (PCF) 2016</t>
  </si>
  <si>
    <t>Bridges - John Smith</t>
  </si>
  <si>
    <t>DN284290</t>
  </si>
  <si>
    <t>Area 1 Finghall RR (Framework Package 1)</t>
  </si>
  <si>
    <t>Area 1 - Nigel Smith</t>
  </si>
  <si>
    <t>DN287346</t>
  </si>
  <si>
    <t>Area 1 Harmby RR (Framework Package 2)</t>
  </si>
  <si>
    <t>DN287364</t>
  </si>
  <si>
    <t>Area 1 Marsett &amp; Stalling Busk R &amp; R</t>
  </si>
  <si>
    <t>DN287371</t>
  </si>
  <si>
    <t>AREA 1 NEWSHAM TO SMALLWAYS R&amp;R (FRAMEWORK PACKAGE 4)</t>
  </si>
  <si>
    <t>DN285289</t>
  </si>
  <si>
    <r>
      <t>Area 2 Package 2017-18
(A61 Market Place Thirsk;</t>
    </r>
    <r>
      <rPr>
        <strike/>
        <sz val="10"/>
        <rFont val="Calibri"/>
        <family val="2"/>
        <scheme val="minor"/>
      </rPr>
      <t xml:space="preserve"> C115 Gatenby</t>
    </r>
    <r>
      <rPr>
        <sz val="10"/>
        <rFont val="Calibri"/>
        <family val="2"/>
        <scheme val="minor"/>
      </rPr>
      <t>; C152 &amp; C161 Picton; C156/C157 Felixkirk etc.; C99 Quarry Banks; Area 2 PSDP 2017)</t>
    </r>
  </si>
  <si>
    <t>2017/18</t>
  </si>
  <si>
    <t>Area 2 - Nigel Smith</t>
  </si>
  <si>
    <t>DN290163</t>
  </si>
  <si>
    <t xml:space="preserve">Area 3 NPIF Marine Drive / Royal Albert Drive - Ducting </t>
  </si>
  <si>
    <t>Call off - Civil Engineering Contractors Framework (CECF) 2016</t>
  </si>
  <si>
    <t>DN294219</t>
  </si>
  <si>
    <t>Area 4 Ings Lane (NPIF Scheme)</t>
  </si>
  <si>
    <t>DN285917</t>
  </si>
  <si>
    <t xml:space="preserve">Area 6 Market Place Ripon Special </t>
  </si>
  <si>
    <t>Area 6 - Nigel Smith</t>
  </si>
  <si>
    <t>DN302663</t>
  </si>
  <si>
    <t>Beck House Bridge - Flange Repainting</t>
  </si>
  <si>
    <t>DN281343</t>
  </si>
  <si>
    <t>Bedale, Aiskew &amp; Leeming Bar Bypass Off-site Landscape Mitigation Scheme: Planting and Maintenance</t>
  </si>
  <si>
    <t>Bid - Restricted</t>
  </si>
  <si>
    <t>Ruth Benson</t>
  </si>
  <si>
    <t>DN294191</t>
  </si>
  <si>
    <t>Calvis Hall - Painting Handrail &amp; Tree Clearance</t>
  </si>
  <si>
    <t>Containers for Leeming Bar Depot</t>
  </si>
  <si>
    <t>Best Value Form</t>
  </si>
  <si>
    <t>Paul Gilmore</t>
  </si>
  <si>
    <t>Coring rig procurement for coring programme</t>
  </si>
  <si>
    <t>DN297305</t>
  </si>
  <si>
    <t>Diving Inspections of NYCC Bridges
Across the county</t>
  </si>
  <si>
    <t>Bid - Open</t>
  </si>
  <si>
    <t>DN275703</t>
  </si>
  <si>
    <t>Gilling Bridge (West) Maintenance</t>
  </si>
  <si>
    <t>DN264794</t>
  </si>
  <si>
    <t>Gilling Bridge, Gilling East - Stone Repairs</t>
  </si>
  <si>
    <t>DN303667</t>
  </si>
  <si>
    <t>Golden Grove 
Painting to main deck beams</t>
  </si>
  <si>
    <t>DN286324</t>
  </si>
  <si>
    <t>Grinton East (Great) Bridge Maintenance 2017</t>
  </si>
  <si>
    <t>DN301866</t>
  </si>
  <si>
    <t>Hewick Bridge
Masonry repairs and vegetation removal</t>
  </si>
  <si>
    <t>DN301376</t>
  </si>
  <si>
    <t>Hewick Bridge
Stone Supply</t>
  </si>
  <si>
    <t>DN305276</t>
  </si>
  <si>
    <t>High Mill 
Rebuild parapet wall</t>
  </si>
  <si>
    <t>DN280441</t>
  </si>
  <si>
    <t>Highways Grit Bins</t>
  </si>
  <si>
    <t xml:space="preserve">DN275958 </t>
  </si>
  <si>
    <t>Ilton Footbridge Replacement</t>
  </si>
  <si>
    <t>DN304460</t>
  </si>
  <si>
    <t>Kirkham Bridge
Stone indents, vegetation clearance, paint ironwork and scour check</t>
  </si>
  <si>
    <t>DN305269</t>
  </si>
  <si>
    <t>Millers Ford Low Bentham 
Failing paintwork and parapet coating F/Br, maintenance works in general</t>
  </si>
  <si>
    <t>DN284153</t>
  </si>
  <si>
    <t xml:space="preserve">NPIF Royal Albert Drive  </t>
  </si>
  <si>
    <t>DN294636</t>
  </si>
  <si>
    <t>Ravensthorpe Mill Footbridge Replacement</t>
  </si>
  <si>
    <t>DN290450</t>
  </si>
  <si>
    <t>S278 Flaxby Roundabout Remedial Work</t>
  </si>
  <si>
    <t>DN304476</t>
  </si>
  <si>
    <t>Settle Bridge
Pointing and stone repairs, resurfacng and scour check</t>
  </si>
  <si>
    <t>DN312994</t>
  </si>
  <si>
    <t>Sheriff Hutton bridge
Rewaterproof</t>
  </si>
  <si>
    <t>DN275708</t>
  </si>
  <si>
    <t>Skip Bridge New (Phase2)
Deck beams at ends and bearings need painting and refurbishment also concrete repairs, repair revetment</t>
  </si>
  <si>
    <t>DN300390</t>
  </si>
  <si>
    <t>Sleights New Bridge
Repairs to parapets and repainting</t>
  </si>
  <si>
    <t>DN264796</t>
  </si>
  <si>
    <t>Snaizeholme Bridge Repair Scheme</t>
  </si>
  <si>
    <t>DN284058</t>
  </si>
  <si>
    <t>Tadcaster Bus Station - Resurfacing</t>
  </si>
  <si>
    <t>DN275699</t>
  </si>
  <si>
    <t>Thornton on Swale</t>
  </si>
  <si>
    <t>DN292327</t>
  </si>
  <si>
    <t>Valley Bridge Deck Waterproofing and Resurfacing</t>
  </si>
  <si>
    <t>DN311990</t>
  </si>
  <si>
    <t>Refurbishment of Accessible WC and Proposed Tea Bar at County Hall</t>
  </si>
  <si>
    <t>6/12/2017</t>
  </si>
  <si>
    <t>12/02/2018</t>
  </si>
  <si>
    <t>Call off - ProcureOne Framework: Small Works (SWO)</t>
  </si>
  <si>
    <t>Property Service</t>
  </si>
  <si>
    <t>Louise Dale</t>
  </si>
  <si>
    <t>DN310674</t>
  </si>
  <si>
    <t>Accelerated roll-out of LED Street Lights: Supply of LED Streetlights</t>
  </si>
  <si>
    <t>Call off - YPO StreetLighting Products and Services (711) framework</t>
  </si>
  <si>
    <t>Management of four Gypsy &amp; Traveller sites</t>
  </si>
  <si>
    <t>Roger Fairholm</t>
  </si>
  <si>
    <t>Purchase of HWRC fixed assets</t>
  </si>
  <si>
    <t>Tony Norris</t>
  </si>
  <si>
    <t>DN319871</t>
  </si>
  <si>
    <t>C68 Marishes Lane, Low Marishes</t>
  </si>
  <si>
    <t>Area 4 - Richard Marr</t>
  </si>
  <si>
    <t>DN197032</t>
  </si>
  <si>
    <t>Carriageway Planing and Surfacing Contractors Framework 2016 CPSCF2016</t>
  </si>
  <si>
    <t>DN306456</t>
  </si>
  <si>
    <t>Area 3 NPIF Bar Street, Aberdeen Walk and Newborough
NPIF Scarbrough Precint</t>
  </si>
  <si>
    <t>NY3-028-J Falsgrave Road/Sainsburys Capital Refurbishment/Improvement</t>
  </si>
  <si>
    <t>Jan 2018</t>
  </si>
  <si>
    <t>James Smith</t>
  </si>
  <si>
    <t>Tadcaster Albion Outfall Clearance &amp; Drainage Investigation</t>
  </si>
  <si>
    <t>Paul Tweed</t>
  </si>
  <si>
    <t>Woodfield Bridleway Bridge Replacement</t>
  </si>
  <si>
    <t>Phil Richardson</t>
  </si>
  <si>
    <t>DN324731</t>
  </si>
  <si>
    <t>Area 5 Carriageway Patching and Surfacing Package 18-19</t>
  </si>
  <si>
    <t>Electricity Bill Validation</t>
  </si>
  <si>
    <t>Unknown</t>
  </si>
  <si>
    <t>DN311303</t>
  </si>
  <si>
    <t>A167 Safer Road Scheme</t>
  </si>
  <si>
    <t>29/11/2017</t>
  </si>
  <si>
    <t>5/3/2018</t>
  </si>
  <si>
    <t>DN311071</t>
  </si>
  <si>
    <t>Roofing and Associated Works at Sessay Church of England VC Primary School</t>
  </si>
  <si>
    <t>DN313716</t>
  </si>
  <si>
    <t>Refurbishment of Library Area at Selby Library</t>
  </si>
  <si>
    <t>12/03/2018</t>
  </si>
  <si>
    <t>DN301953</t>
  </si>
  <si>
    <t>NY17003 Holly Garth – Former Elderly Persons’ Home Demolition Contract</t>
  </si>
  <si>
    <t>Zoe Stevenson (Align)</t>
  </si>
  <si>
    <t>DN304790</t>
  </si>
  <si>
    <t>15080 Settrington All Saints Church of England Primary School</t>
  </si>
  <si>
    <t>Call off - ProcureOne Framework: Works (WOK)</t>
  </si>
  <si>
    <t>Philip Wigham (Align)</t>
  </si>
  <si>
    <t>DN307660</t>
  </si>
  <si>
    <t>B0847 Pickering EPH – Dementia Unit</t>
  </si>
  <si>
    <t>DN325943</t>
  </si>
  <si>
    <t>Hodge Beck New Bridge Maintenance Works</t>
  </si>
  <si>
    <t>Jon-Pierre Winlow</t>
  </si>
  <si>
    <t>Emergency salt provision (if req'd)</t>
  </si>
  <si>
    <t>Mike Roberts</t>
  </si>
  <si>
    <t>Easingwold School
Structural works 
Replacement of defective structural steelwork to the main hall.</t>
  </si>
  <si>
    <t>Servicing of Electrcical Equipment &amp; Plant</t>
  </si>
  <si>
    <t>Servicing of Fire Equipment</t>
  </si>
  <si>
    <t>Servicing of Mechanical Equipment &amp; Plant</t>
  </si>
  <si>
    <t>PAT &amp; Fit</t>
  </si>
  <si>
    <t>Servicing and maintenance of Play Equipment</t>
  </si>
  <si>
    <t>OJEU - Open</t>
  </si>
  <si>
    <t>Ian Morris</t>
  </si>
  <si>
    <t>Responsive Maintenance</t>
  </si>
  <si>
    <t>Water Hygiene Services</t>
  </si>
  <si>
    <t>Asbestos Analysis</t>
  </si>
  <si>
    <t>30+18</t>
  </si>
  <si>
    <t>DN324273</t>
  </si>
  <si>
    <t>Railway Street - Malton - Footpath Repairs</t>
  </si>
  <si>
    <t>DN330694</t>
  </si>
  <si>
    <r>
      <t xml:space="preserve">Area 2 Package 2018-19
</t>
    </r>
    <r>
      <rPr>
        <i/>
        <sz val="10"/>
        <rFont val="Calibri"/>
        <family val="2"/>
        <scheme val="minor"/>
      </rPr>
      <t>(Borrowby R&amp;R, Gatenby R&amp;R, Carlton Miniott R&amp;R, Hutton Sessay R&amp;R, Pickhill R&amp;R, Scorton R&amp;R)</t>
    </r>
  </si>
  <si>
    <t>DN331828</t>
  </si>
  <si>
    <t>Lambs Lane Resurfacing &amp; PSDP Area 2 Thirsk Tender 2018-19</t>
  </si>
  <si>
    <t>Steve Plumpton</t>
  </si>
  <si>
    <t>Sarah Richardson</t>
  </si>
  <si>
    <t>DN335600</t>
  </si>
  <si>
    <t>Area 6 Harrogate Resurfacing Scheme 2018-19</t>
  </si>
  <si>
    <t>Kath Rumford</t>
  </si>
  <si>
    <t>2018</t>
  </si>
  <si>
    <t>DN347484</t>
  </si>
  <si>
    <t>Carriageway Resurfacing of Skipton on Swale Bridge</t>
  </si>
  <si>
    <t>Josh Calvert</t>
  </si>
  <si>
    <t>DN315880</t>
  </si>
  <si>
    <t>Ground Floor Refurbishment at North Yorkshire House</t>
  </si>
  <si>
    <t>23/04/2018</t>
  </si>
  <si>
    <t>DN311059</t>
  </si>
  <si>
    <t>Sutton Bank NP Centre, Car Park Remodelling and Extension / Dark Skies pavilion</t>
  </si>
  <si>
    <t>DN325105</t>
  </si>
  <si>
    <t>Demolition of Ramp to TCU and provision of new access steps at Kirby Moorside Community Primary School</t>
  </si>
  <si>
    <t>10 days</t>
  </si>
  <si>
    <t>DN326374</t>
  </si>
  <si>
    <t>Installation of a Double PCU and construction of a Ramp and Steps at The Forest School</t>
  </si>
  <si>
    <t>6 months</t>
  </si>
  <si>
    <t>DN326384</t>
  </si>
  <si>
    <t>Extension and internal re-modelling to provide waiting facility and additional office at Whitby Park &amp; Ride</t>
  </si>
  <si>
    <t>Tomas Mackay (Align)</t>
  </si>
  <si>
    <t>DN329336</t>
  </si>
  <si>
    <t xml:space="preserve">Improvement Work and Hall Extension at Barwic Parade CPS </t>
  </si>
  <si>
    <t>DN329348</t>
  </si>
  <si>
    <t>PCU Replacement at Welburn CPS</t>
  </si>
  <si>
    <t>DN329351</t>
  </si>
  <si>
    <t>Additional Teaching Block at Graham School</t>
  </si>
  <si>
    <t>DN329353</t>
  </si>
  <si>
    <t>Car Park Alteration Works at Northallerton School</t>
  </si>
  <si>
    <t>DN329355</t>
  </si>
  <si>
    <t>Dishforth CEPS - New PCU, Fire Alarm and Heating</t>
  </si>
  <si>
    <t>DN331331</t>
  </si>
  <si>
    <t>Car park drainage works at Riverside Community Primary School</t>
  </si>
  <si>
    <t>DN331338</t>
  </si>
  <si>
    <t>Re-roofing and replacement of rainwater goods at Gladstone Road Community Primary School</t>
  </si>
  <si>
    <t>DN336188</t>
  </si>
  <si>
    <t>Settle College - Window replacement and associated maintenance works</t>
  </si>
  <si>
    <t>June 2018</t>
  </si>
  <si>
    <t>DN340097</t>
  </si>
  <si>
    <t>Glusburn Primary School - Re-design of roof to remove polycarbonate inverted roof above internal room</t>
  </si>
  <si>
    <t>DN340098</t>
  </si>
  <si>
    <t>Easingwold CPS - Essential ceiling repairs</t>
  </si>
  <si>
    <t>DN340117</t>
  </si>
  <si>
    <t>Greatwood CPS - Renew railings and alterations to retaining wall</t>
  </si>
  <si>
    <t>May 2018</t>
  </si>
  <si>
    <t>DN340128</t>
  </si>
  <si>
    <t>Richmond Methodist Primary School - Replacement of defective fire escape staircase</t>
  </si>
  <si>
    <t>DN340132</t>
  </si>
  <si>
    <t>Holy Trinity CE Infant School - Replacement of L&amp;P ceiling to Room 13</t>
  </si>
  <si>
    <t>Paula McLean / Tom Mackay (Align)</t>
  </si>
  <si>
    <t>DN321554</t>
  </si>
  <si>
    <t>Weather Forecasting Contract and Weather Station Bureau Service</t>
  </si>
  <si>
    <t>DN341318</t>
  </si>
  <si>
    <t>Area 1 Hunton R&amp;R</t>
  </si>
  <si>
    <t>2018/19</t>
  </si>
  <si>
    <t>Tony Elliott</t>
  </si>
  <si>
    <t>DN333713</t>
  </si>
  <si>
    <t>Spa Bridge - Paint underside of bridge</t>
  </si>
  <si>
    <t>DN353779</t>
  </si>
  <si>
    <t>Nine Acre and Fox Covert Footbridge Replacement</t>
  </si>
  <si>
    <t>Ben Savage / Philip Richardson</t>
  </si>
  <si>
    <t>DN350572</t>
  </si>
  <si>
    <t>Bond End Air Quality Scheme
Bond End Junction Improvement – Knaresborough (NPIF Scheme)</t>
  </si>
  <si>
    <t>Grinton East (Great) Bridge</t>
  </si>
  <si>
    <t>DN353822</t>
  </si>
  <si>
    <t>Southend &amp; Ings Beck Footbridge Replacements</t>
  </si>
  <si>
    <t>Josh Calvert / Philip Richardson</t>
  </si>
  <si>
    <t>DN355295</t>
  </si>
  <si>
    <t>Vegetation and Re-pointing Works at Burton in Lonsdale Bridge</t>
  </si>
  <si>
    <t>DN340092</t>
  </si>
  <si>
    <t>Luttons CPS - Staffroom and admin alterations</t>
  </si>
  <si>
    <t>DN319896</t>
  </si>
  <si>
    <t>Refurbishment of the Undercroft to create office space at Castle House</t>
  </si>
  <si>
    <t>DN349890</t>
  </si>
  <si>
    <t>Carlton in Snaith CP - Accessible WC</t>
  </si>
  <si>
    <t>DN357334</t>
  </si>
  <si>
    <t>Winterburn Bridge Arch Repairs</t>
  </si>
  <si>
    <t>DN357208</t>
  </si>
  <si>
    <t>Inghey River Aire</t>
  </si>
  <si>
    <t>Ben Savage / Phillip Richardson</t>
  </si>
  <si>
    <t>DN357973</t>
  </si>
  <si>
    <t>Harker Beck - Concrete invert/tree removal/parapet rebuild</t>
  </si>
  <si>
    <t>DN340136</t>
  </si>
  <si>
    <t>Kirby Misperton - Vehicle Wash</t>
  </si>
  <si>
    <t>DN360198</t>
  </si>
  <si>
    <t>Clapgate Bridge - General Repair</t>
  </si>
  <si>
    <t>DN356776</t>
  </si>
  <si>
    <t>Stephenson's Bridge Works</t>
  </si>
  <si>
    <t>DN325101</t>
  </si>
  <si>
    <t>Kirkby Malzeard - Replacement PCU</t>
  </si>
  <si>
    <t>-</t>
  </si>
  <si>
    <t xml:space="preserve">NYCC UTC &amp; UTMC Consolidation and Harrogate Communications Infrastructure Improvement </t>
  </si>
  <si>
    <t>22/09/2019 or 22/09/2021</t>
  </si>
  <si>
    <t>PROFESSIONAL</t>
  </si>
  <si>
    <t>PRoW Seasonal Vegetation Cutting Programme</t>
  </si>
  <si>
    <t>35+12</t>
  </si>
  <si>
    <t xml:space="preserve">BMu </t>
  </si>
  <si>
    <t>PRoW Yorkshire Wolds Way Seasonal Vegetation Cutting Programme</t>
  </si>
  <si>
    <t>34+12</t>
  </si>
  <si>
    <t>01/04/2020 or 01/04/2022</t>
  </si>
  <si>
    <t>84 + 24</t>
  </si>
  <si>
    <t>John Smith</t>
  </si>
  <si>
    <t>DN196608</t>
  </si>
  <si>
    <t>Civil Engineering Contractors Framework 2016 CECF2016</t>
  </si>
  <si>
    <t>DN197033</t>
  </si>
  <si>
    <t>Painting Contractors Framework Contract 2016 PCF2016</t>
  </si>
  <si>
    <t>Area 6 Cat 1,1a,2 West Park Harrogate Footway R&amp;R</t>
  </si>
  <si>
    <t>Helmsley CPS - Concrete repairs to chimney stack to boiler house</t>
  </si>
  <si>
    <t>Coppice Valley - Discharge of Conditions and construction of footpath</t>
  </si>
  <si>
    <t>Grassington CE VC Primary School - Replacement of boiler and pipework and heaters. Remove the old one pipe heating system to the hall and three classrooms, install surface mounted F&amp;R feeding new dun and bush heaters replace the old radiators and replace the originally coal boiler</t>
  </si>
  <si>
    <t>Holy Trinity Inf - review of west riding</t>
  </si>
  <si>
    <t>Kellington CP School - Boiler replacement. Ancient, obsolete Strebel atmospheric (only boiler) big 200+ kw replace</t>
  </si>
  <si>
    <t>Leeming R A F - outdoor devopment</t>
  </si>
  <si>
    <t>Richmond Methodist Primary School - Review of temp unit</t>
  </si>
  <si>
    <t>Ripon Grammar School - Phase 2 of works to science block</t>
  </si>
  <si>
    <t>South Milford CPS - Classroom expansion</t>
  </si>
  <si>
    <t>Sutton in Craven CE VC Primary School -Boiler replacement. Ancient, obsolete Strebel atmospheric (only boiler) big 200+ kw</t>
  </si>
  <si>
    <t>Willow Tree CPS - Feasibility study for boiler replacement.</t>
  </si>
  <si>
    <t>Basic need provision at Hungate</t>
  </si>
  <si>
    <t>PCU replacements 2018</t>
  </si>
  <si>
    <t>Delayed from 2018 activities</t>
  </si>
  <si>
    <t>SEN review 2018/19</t>
  </si>
  <si>
    <t>Green Hammerton CPS - Expansion / 4 Classroom and Kitchen extension</t>
  </si>
  <si>
    <t>Lindhead School - increase capacity to a 1.5 form school</t>
  </si>
  <si>
    <t>DN356802</t>
  </si>
  <si>
    <t>Kirkby Malham Bridge Widening Works</t>
  </si>
  <si>
    <t>Further Comp - NYCC</t>
  </si>
  <si>
    <t>DUPLICATE</t>
  </si>
  <si>
    <t>Area 1 Patching to tender</t>
  </si>
  <si>
    <t>DN301951</t>
  </si>
  <si>
    <t>Bedale High School Sports Hall Floor Replacement</t>
  </si>
  <si>
    <t>DN318364</t>
  </si>
  <si>
    <t>Filey Junior School replacement of three TCU buildings with a Three Classroom extension</t>
  </si>
  <si>
    <t>DN329344</t>
  </si>
  <si>
    <t>King James - 6th Form block and car park works</t>
  </si>
  <si>
    <t>Replacement of 2 PCU’s with a Double PCU at Kirby Malzeard Church of England Primary School</t>
  </si>
  <si>
    <t>DN329338</t>
  </si>
  <si>
    <t>Selby CP School - 4 Class Nursery Extension (Foundation Unit)</t>
  </si>
  <si>
    <t>The Forest School - Accommodation development (Extension and internal mods)</t>
  </si>
  <si>
    <t xml:space="preserve">Solid Fuel - Coal </t>
  </si>
  <si>
    <t>DN330202</t>
  </si>
  <si>
    <t>Waste Treatment &amp; Disposal Framework 2015 9P4Q-WVQU8U DN195043</t>
  </si>
  <si>
    <t>12 + tbc</t>
  </si>
  <si>
    <t>A6068 Cowling Resurfacing</t>
  </si>
  <si>
    <t>Martin Garner</t>
  </si>
  <si>
    <t>Area 1 - Framework 6 A6136 Richmond and Catterick Garrison</t>
  </si>
  <si>
    <t>Area 4 Low Marishes R&amp;R</t>
  </si>
  <si>
    <t>John Putsey</t>
  </si>
  <si>
    <t>Area 4 Salton R&amp;R</t>
  </si>
  <si>
    <t xml:space="preserve">Selby town swing bridge-deck panels urgent/ emergency repair </t>
  </si>
  <si>
    <t>Andrew Wood</t>
  </si>
  <si>
    <t xml:space="preserve">A635 Holmfirth Road, Sovereign </t>
  </si>
  <si>
    <t>Cat 1, 1a,2  Low Street Husthwaite Footway R&amp;R</t>
  </si>
  <si>
    <t>Area 2 - TBC</t>
  </si>
  <si>
    <t>Crescent Hill, Filey</t>
  </si>
  <si>
    <t>Gillamoor R&amp;R</t>
  </si>
  <si>
    <t>tBC</t>
  </si>
  <si>
    <t>DN343431</t>
  </si>
  <si>
    <t>Lane Foot Road, High Bentham – Landslip Repair</t>
  </si>
  <si>
    <t>Masham South - Masonry repair dropped arch stones</t>
  </si>
  <si>
    <t>Road Footbridges - TBC</t>
  </si>
  <si>
    <t>Area 6 Harrogate R &amp; R
City centre patches</t>
  </si>
  <si>
    <t>Area 6 - TBC</t>
  </si>
  <si>
    <t>Area 6 R &amp; R Package</t>
  </si>
  <si>
    <t>DN340101</t>
  </si>
  <si>
    <t>Dishforth Airfield CP School - Essential concrete repairs to Airey Building following structural report</t>
  </si>
  <si>
    <t>DN354120</t>
  </si>
  <si>
    <t>Improvements to maintenance access at Killinghall Church of England Primary School</t>
  </si>
  <si>
    <t>Tom Mackay / RS</t>
  </si>
  <si>
    <t>DN340125</t>
  </si>
  <si>
    <t>Pickhill CE Primary School - Stabilisation works to canteen gable wall (HORSA)</t>
  </si>
  <si>
    <t>Crayke House  - revamp</t>
  </si>
  <si>
    <t>Paula McLean / CD</t>
  </si>
  <si>
    <t>St John's Knaresborough</t>
  </si>
  <si>
    <t>DN311476</t>
  </si>
  <si>
    <t>B0754 Tadcaster Library</t>
  </si>
  <si>
    <t>Paula McLean / AMa</t>
  </si>
  <si>
    <t>Brompton Station Stone Replacement</t>
  </si>
  <si>
    <t>DN366249</t>
  </si>
  <si>
    <t>Ainsty Road - Demolition of offices</t>
  </si>
  <si>
    <t>Paula McLean / HH</t>
  </si>
  <si>
    <t>Area 6 Woodside Special</t>
  </si>
  <si>
    <t>Area 6 Kingsway Drive Special</t>
  </si>
  <si>
    <t>DN196365</t>
  </si>
  <si>
    <t xml:space="preserve">Area 3 Cat 3,4,5 Eastfield Footway R&amp;R </t>
  </si>
  <si>
    <t>Hannah Benson</t>
  </si>
  <si>
    <t>Area 6 Grantley R&amp;R</t>
  </si>
  <si>
    <t>Area 2 C10 South Otterington R&amp;R</t>
  </si>
  <si>
    <t>Area 2 Swainby R&amp;R</t>
  </si>
  <si>
    <t>Area 6 Hartwith R&amp;R</t>
  </si>
  <si>
    <t>Area 7 Finkle Street Special Setts</t>
  </si>
  <si>
    <t>U28 East Moor To Cockayne, Helmsley</t>
  </si>
  <si>
    <t>Kirby Misperton Waste Transfer Station</t>
  </si>
  <si>
    <t>Andrew Bardon</t>
  </si>
  <si>
    <t>DN301718</t>
  </si>
  <si>
    <t>Kirby Misperton Civils</t>
  </si>
  <si>
    <t>Barlby High - pool</t>
  </si>
  <si>
    <t>Paula McLean / RS</t>
  </si>
  <si>
    <t>Boroughbridge Highways - offices</t>
  </si>
  <si>
    <t>Sherburn High - fire - temporary works</t>
  </si>
  <si>
    <t>Area 6 A61 Station Parade</t>
  </si>
  <si>
    <t>Area 6 A661 Wetherby Road</t>
  </si>
  <si>
    <t>Area 6 B6162 Otley Road</t>
  </si>
  <si>
    <t>Gantries for HWRCS</t>
  </si>
  <si>
    <t>Core sampling and testing</t>
  </si>
  <si>
    <t>Cleaning equipment repairs and maintenance</t>
  </si>
  <si>
    <t>Cancelled</t>
  </si>
  <si>
    <t>West &amp; East Heslerton R&amp;R</t>
  </si>
  <si>
    <t>Cold Kirby R&amp;R</t>
  </si>
  <si>
    <t>MERGED</t>
  </si>
  <si>
    <t xml:space="preserve">Fenestration (windows &amp; cladding) </t>
  </si>
  <si>
    <t>Roofing (flat &amp; pitched)</t>
  </si>
  <si>
    <t>Small Works</t>
  </si>
  <si>
    <t>see Works too</t>
  </si>
  <si>
    <t>Works 
(Originally part of ProcureOne)</t>
  </si>
  <si>
    <t>Area 6 Southfield Lane, Tockwith R&amp;R</t>
  </si>
  <si>
    <t>Harrogate VMS Phase 1</t>
  </si>
  <si>
    <t>Tadcaster Bridge Street Lighting Plates</t>
  </si>
  <si>
    <t>Thirsk Old Stone Replacement</t>
  </si>
  <si>
    <t>Road Safety</t>
  </si>
  <si>
    <t>Caroline Wilkinson</t>
  </si>
  <si>
    <t>Area 4 Hawnby R&amp;R</t>
  </si>
  <si>
    <t>Engineering Consultancy Services</t>
  </si>
  <si>
    <t>potential 48</t>
  </si>
  <si>
    <t>David Handson</t>
  </si>
  <si>
    <t>DN378833</t>
  </si>
  <si>
    <t>A63 River Ouse Swing Bridge Maintenance Contract</t>
  </si>
  <si>
    <t>DN386580</t>
  </si>
  <si>
    <t>Area 6 Harrogate Tender</t>
  </si>
  <si>
    <t>Melisa Burnham</t>
  </si>
  <si>
    <t>DN366322</t>
  </si>
  <si>
    <t xml:space="preserve">Supply and Installation of 4G/LTE mobile communications infrastructure </t>
  </si>
  <si>
    <t>13+24+24</t>
  </si>
  <si>
    <t>DN388022</t>
  </si>
  <si>
    <t>Pickering Bridge (397) Arch Repair</t>
  </si>
  <si>
    <t>Philip Richardson</t>
  </si>
  <si>
    <t>Restricted Bid</t>
  </si>
  <si>
    <t>DN389665</t>
  </si>
  <si>
    <t>Spital (Old) Bridge - Stone repairs, repointing, concrete invert repairs</t>
  </si>
  <si>
    <t>DN389184</t>
  </si>
  <si>
    <t>Thirsk Road Subway - Repainting &amp; Drainage Repair</t>
  </si>
  <si>
    <t>DN391012</t>
  </si>
  <si>
    <t>Bishopton - River Bed Scour and Invert Repair</t>
  </si>
  <si>
    <t>DN391122</t>
  </si>
  <si>
    <t xml:space="preserve">Area 6 Palace Road Ripon R&amp;R </t>
  </si>
  <si>
    <t>Melisa Burnham / Stephanie Deuchars (wsp)</t>
  </si>
  <si>
    <t>DN374924</t>
  </si>
  <si>
    <t>Nawton Community Primary School -  Double classroom building</t>
  </si>
  <si>
    <t>Paula McLean / MA</t>
  </si>
  <si>
    <t>Cacnel</t>
  </si>
  <si>
    <t>Thornton in Craven - ramp</t>
  </si>
  <si>
    <t>CANCELLED</t>
  </si>
  <si>
    <t>Traffic Signal Refurbishment - Clock Tower, Ripon
NY6-127-J</t>
  </si>
  <si>
    <t>DN387700</t>
  </si>
  <si>
    <t>Harrogate EPH - refurb of dementia unit and respite care</t>
  </si>
  <si>
    <t>Holy Trinity Junior School - Toilet refurbishment</t>
  </si>
  <si>
    <t>Paula McLean / CG</t>
  </si>
  <si>
    <t>Masham CE VC Primary School - Classroom expansion</t>
  </si>
  <si>
    <t>The Dales School - tbc</t>
  </si>
  <si>
    <t>N/A - YPO Portal
NYCC - Contract Ref DN408191</t>
  </si>
  <si>
    <t>DN374927</t>
  </si>
  <si>
    <t>Malton Community Primary School - Extension for the provision of a new hygiene room</t>
  </si>
  <si>
    <t>Dishforth Airfield CP School - staffroom and ancillary works, car parking and concrete repairs</t>
  </si>
  <si>
    <t>DN340110</t>
  </si>
  <si>
    <t>R A F Leeming CPS - Essential concrete repairs to Airey Building following structural report</t>
  </si>
  <si>
    <t>Paula McLean / AP</t>
  </si>
  <si>
    <t>DN340112</t>
  </si>
  <si>
    <t>Linton on Ouse CPS - Essential concrete repairs to Airey Building following structural report</t>
  </si>
  <si>
    <t>Area 4 Acklam Carriageway Patching Package</t>
  </si>
  <si>
    <t xml:space="preserve">BALB Archaeological </t>
  </si>
  <si>
    <t>Colin Quinn
/ Mark Hugill</t>
  </si>
  <si>
    <t xml:space="preserve">Construction Works &amp; Planned Maintenance </t>
  </si>
  <si>
    <t>DN392035</t>
  </si>
  <si>
    <t>Masham Great - Resurfacing</t>
  </si>
  <si>
    <t>DN373475</t>
  </si>
  <si>
    <t>County Hall - Phase 3 refurbishment / Brierley Building &amp; restaurant refurbishment (Package 1)</t>
  </si>
  <si>
    <t>Sinnington [bridge?]
Maintenance of flood relief culverts</t>
  </si>
  <si>
    <t>80-100 Place Special School, Osgodby, Selby</t>
  </si>
  <si>
    <t>Brooklands Special School - tbc</t>
  </si>
  <si>
    <t>EV Charging Unit</t>
  </si>
  <si>
    <t>Malton and Hunmaby Primary School - Windows</t>
  </si>
  <si>
    <t>Brougham Street  - access door</t>
  </si>
  <si>
    <t>Pickering Junior - HORSA demolition</t>
  </si>
  <si>
    <t>DN364313</t>
  </si>
  <si>
    <t>Provision of new Data Centre at County Hall</t>
  </si>
  <si>
    <t>DN418480</t>
  </si>
  <si>
    <t>Fairburn Community Primary School – Extension to form new classroom, toilets and lobby</t>
  </si>
  <si>
    <t>DPS - External</t>
  </si>
  <si>
    <t xml:space="preserve">DN410814 </t>
  </si>
  <si>
    <t>Repairs to Airey Buildings concrete columns and associated works - Dishforth Airfield CPS, Leeming RAF CPS &amp; Linton-on-Ouse PS</t>
  </si>
  <si>
    <t>Paula McLean / CG, AP</t>
  </si>
  <si>
    <t>Area 5 Skipton Back Streets Package 19-20 - Relay Stone Setts</t>
  </si>
  <si>
    <t xml:space="preserve">Martin Garner </t>
  </si>
  <si>
    <t>Area 4 Burythorpe and Leavening R&amp;R - 
Carriageway patching and overlay works on the C61 Howsham between Cordike Lnae and Moor Hill,  U479 Burythorpe from Malton Road to Brook Farm, and C355 Burythorpe from Low Lane to end track at Nearside Farm.</t>
  </si>
  <si>
    <t>Area 4 - TBC</t>
  </si>
  <si>
    <t>Area 4 Whitwell on the Hill R&amp;R -
Carriagway patching, inlay and overlay on C61 from the Monument to A64 junction, and C91 from Bulmer Hill Road westwards to Mill House Farm access.</t>
  </si>
  <si>
    <t>DN352611</t>
  </si>
  <si>
    <t>Hard FM</t>
  </si>
  <si>
    <t>Hard Facilities Management Servicing and Repairs 2019-2023</t>
  </si>
  <si>
    <t>DN413622</t>
  </si>
  <si>
    <t>Area 2 Thirsk PSDP</t>
  </si>
  <si>
    <t>DN408001</t>
  </si>
  <si>
    <t>Area 5 Carriageway Patching &amp; Surfacing Package 19/20</t>
  </si>
  <si>
    <t>DN405827 (ProcurementHub)
DN425665 (Contracts Finder)</t>
  </si>
  <si>
    <t>Barlby Bridge CPS - Safeguarding and class extension works</t>
  </si>
  <si>
    <t>DN425745</t>
  </si>
  <si>
    <t>Ripon Moorside Junior &amp; Infant schools amalgamation – Extension, Refurbishment, external works and car park extension</t>
  </si>
  <si>
    <t>Bishop Thornton R&amp;R</t>
  </si>
  <si>
    <t>June</t>
  </si>
  <si>
    <t>Ellingstring &amp; Fearby R&amp;R</t>
  </si>
  <si>
    <t>Harlow Moor Road Juntion
Stats Orders</t>
  </si>
  <si>
    <t>Tim Simpson</t>
  </si>
  <si>
    <t>Soursikes Aldborough R&amp;R</t>
  </si>
  <si>
    <t>Thornthwaite R&amp;R</t>
  </si>
  <si>
    <t>DN420965</t>
  </si>
  <si>
    <t>Bradley Canal - Resurfacing</t>
  </si>
  <si>
    <t>Josh Calvert / Jon-Pierre Winlow</t>
  </si>
  <si>
    <t>DN424588</t>
  </si>
  <si>
    <t>Green Bridge 
Vegetation clearance, minor pointing</t>
  </si>
  <si>
    <t>4 days</t>
  </si>
  <si>
    <t>Ben Savage / 
Jon-Pierre Winlow</t>
  </si>
  <si>
    <t>DN409957</t>
  </si>
  <si>
    <t>Hackness Primary - Sewage Treatment plant and pumping station</t>
  </si>
  <si>
    <t>DN416088</t>
  </si>
  <si>
    <t>Kildwick CE - office / safeguarding</t>
  </si>
  <si>
    <t>Kettlewell Wharfe (also known as New) Repointing</t>
  </si>
  <si>
    <t>DN428117</t>
  </si>
  <si>
    <t>Semerwater Bridge (C43)
Various Pointing</t>
  </si>
  <si>
    <t>DN427567</t>
  </si>
  <si>
    <t>Thormanby Bridge (A19)
In-Fill the bridge, remove parapet, complete with sloped verge &amp; fencing</t>
  </si>
  <si>
    <t>Area 1 Moor Lane Dalton RR (Framework Package 3)</t>
  </si>
  <si>
    <t>Area 1 - TBC</t>
  </si>
  <si>
    <t>Petyt Grove Bridge
Concrete repairs to culvert</t>
  </si>
  <si>
    <t>Hollin Wood Bridge (A61)
Concrete repairs</t>
  </si>
  <si>
    <t>Stainley North - concrete repairs</t>
  </si>
  <si>
    <t>DN384581</t>
  </si>
  <si>
    <t>Cliffe VC Primary School – Classroom Extension</t>
  </si>
  <si>
    <t>DN413112</t>
  </si>
  <si>
    <t>Building Control Services</t>
  </si>
  <si>
    <t>Existing 36 + 12</t>
  </si>
  <si>
    <t>£80,000 - £120,000</t>
  </si>
  <si>
    <t>DN438944</t>
  </si>
  <si>
    <t>Maintenance of Solar VAS signs</t>
  </si>
  <si>
    <t>DN4296761</t>
  </si>
  <si>
    <t>Transport Access Fund. YTA.</t>
  </si>
  <si>
    <t>DN424661</t>
  </si>
  <si>
    <t>Burgess Bridge - Scour Repair</t>
  </si>
  <si>
    <t>DN433478</t>
  </si>
  <si>
    <t>Isles Bridge Repointing
repairs as required following vegetation clearance</t>
  </si>
  <si>
    <t>DN428929</t>
  </si>
  <si>
    <t>Richmond Bridge – Pilaster Repair</t>
  </si>
  <si>
    <t>Oliver Grundmann / Josh Calvert</t>
  </si>
  <si>
    <t>DN429018</t>
  </si>
  <si>
    <r>
      <t>Crimple Beck Footbridge Replacement
(</t>
    </r>
    <r>
      <rPr>
        <i/>
        <sz val="10"/>
        <rFont val="Arial"/>
        <family val="2"/>
      </rPr>
      <t>Also known as River Crimple (Spofforth)</t>
    </r>
    <r>
      <rPr>
        <sz val="10"/>
        <rFont val="Arial"/>
        <family val="2"/>
      </rPr>
      <t>)</t>
    </r>
  </si>
  <si>
    <t xml:space="preserve">Area 3 Newby R&amp;R </t>
  </si>
  <si>
    <t>DN409703</t>
  </si>
  <si>
    <t>Valley Bridge Maintenance Paint Works Phase 1</t>
  </si>
  <si>
    <t>John Smith 
Jon-Pierre Winlow</t>
  </si>
  <si>
    <t>DN400774</t>
  </si>
  <si>
    <t>Area 3 Scarborough Critical Junctions
Scarborough Junction O
Scalby Road / Manor Road
Alterations to roundabout (widening of entrances and exits)</t>
  </si>
  <si>
    <t>James Kennedy</t>
  </si>
  <si>
    <t>DN389170</t>
  </si>
  <si>
    <t>Newsham Bridge, Invert Works, Parapet repair and Surfacing</t>
  </si>
  <si>
    <t>DN419773</t>
  </si>
  <si>
    <r>
      <t xml:space="preserve">Area 4 Helmsley R&amp;R - 
Carriageway overlay and repair along the U28 between Carlton Village and Cockayne (south of Beck House to Hazel Green access)
Bransdale
</t>
    </r>
    <r>
      <rPr>
        <i/>
        <sz val="10"/>
        <rFont val="Arial"/>
        <family val="2"/>
      </rPr>
      <t>Bransdale R&amp;R</t>
    </r>
  </si>
  <si>
    <t>DN434729</t>
  </si>
  <si>
    <t>Thormanby Bridge – Concrete Infill</t>
  </si>
  <si>
    <t>DN418867</t>
  </si>
  <si>
    <t>Hard Facilities Management 2020-2024</t>
  </si>
  <si>
    <t>DN440335</t>
  </si>
  <si>
    <t>Whaw and Eskeleth Flood Repairs Works</t>
  </si>
  <si>
    <t xml:space="preserve">DN372568 </t>
  </si>
  <si>
    <r>
      <t>Middle Deepdale new primary school -</t>
    </r>
    <r>
      <rPr>
        <b/>
        <sz val="10"/>
        <color rgb="FFFF0000"/>
        <rFont val="Arial"/>
        <family val="2"/>
      </rPr>
      <t xml:space="preserve"> Abandoned</t>
    </r>
  </si>
  <si>
    <t>DN377530</t>
  </si>
  <si>
    <t>Area 7 A645 Hensall R&amp;R</t>
  </si>
  <si>
    <t xml:space="preserve">DN455913 </t>
  </si>
  <si>
    <t>Glusburn Primary School - remodel and additional accommodation /double pcu</t>
  </si>
  <si>
    <t>DN411939</t>
  </si>
  <si>
    <t>Fountains CE Primary School - KS1 toilet provision</t>
  </si>
  <si>
    <t>DN374925</t>
  </si>
  <si>
    <t>Skipton Water Street - Internal refurbishment for the provision of new toilets and external alteration works</t>
  </si>
  <si>
    <t>DN377501</t>
  </si>
  <si>
    <t>Internal alterations, entrance extension and new access ramp at Fylingdales</t>
  </si>
  <si>
    <t>DN408125</t>
  </si>
  <si>
    <t>Sleights Footbridge 
Maintenance Works Repainting of structure and new timber handrails. Repairs/ new surface to the concrete deck boards</t>
  </si>
  <si>
    <t xml:space="preserve">DN411135 </t>
  </si>
  <si>
    <t>Area 2 Masham Road Carriageway Patching and Resurfacing</t>
  </si>
  <si>
    <t>DN419621</t>
  </si>
  <si>
    <t>Area 6 North Road / North Street Ripon R&amp;R
UCI event</t>
  </si>
  <si>
    <t>DN418387</t>
  </si>
  <si>
    <t xml:space="preserve">Brocka Beck Bridge (A169)
Water issues, install large filter drain eitherside of bridge across the road around 3m deep.  </t>
  </si>
  <si>
    <t>DN420660</t>
  </si>
  <si>
    <t>Area 1 Middleham R&amp;R
UCI event</t>
  </si>
  <si>
    <t>DN419614</t>
  </si>
  <si>
    <t>Area 6 Burton Leonard R&amp;R
UCI event</t>
  </si>
  <si>
    <t>DN419795</t>
  </si>
  <si>
    <t>Area 6 Rural Patching
UCI event</t>
  </si>
  <si>
    <t>DN419303</t>
  </si>
  <si>
    <t>Cliff Cottage Culvert (A170)
Veg clearance, grout parapet base plates.  Headwall RC repair</t>
  </si>
  <si>
    <t>DN445746</t>
  </si>
  <si>
    <t>Area 2 Plews Way Leeming Bar R&amp;R</t>
  </si>
  <si>
    <t>DN428151</t>
  </si>
  <si>
    <r>
      <t xml:space="preserve">Area 4 Additional Capital Schemes
</t>
    </r>
    <r>
      <rPr>
        <i/>
        <sz val="10"/>
        <rFont val="Arial"/>
        <family val="2"/>
      </rPr>
      <t>Includes
B1257 Main Street, Stonegrove 
B1258 Malton Road, West Knapton
B1363 Burnt Gill, Gilling East
C89 Coulton Road, Coulton</t>
    </r>
  </si>
  <si>
    <t>DN431662</t>
  </si>
  <si>
    <t>Duchess of Kent Bridge (A61)
Regulate/ resurface approaches and renew joints</t>
  </si>
  <si>
    <t>TbC</t>
  </si>
  <si>
    <t>DN440299</t>
  </si>
  <si>
    <r>
      <t xml:space="preserve">Area 6 19/20 Package
</t>
    </r>
    <r>
      <rPr>
        <i/>
        <sz val="10"/>
        <rFont val="Arial"/>
        <family val="2"/>
      </rPr>
      <t>Includes Skelton Lane, Ellstring &amp; Fearby, Bishop Thornton, Thornthwaite</t>
    </r>
  </si>
  <si>
    <t xml:space="preserve">DN445307 </t>
  </si>
  <si>
    <t>Wood Footbridge 
Structural timber repairs, parapet and deck timber replacement - Requires full inspection</t>
  </si>
  <si>
    <t>2 weeks</t>
  </si>
  <si>
    <t>DN440045</t>
  </si>
  <si>
    <t>Tanton Bridge</t>
  </si>
  <si>
    <t xml:space="preserve">DN448208 </t>
  </si>
  <si>
    <t>Kirby Hall Little Ouseburn Bridge
New footbridge</t>
  </si>
  <si>
    <t xml:space="preserve">DN446721 </t>
  </si>
  <si>
    <t>R&amp;R - Littlebeck Bank</t>
  </si>
  <si>
    <t>DN411049</t>
  </si>
  <si>
    <t>Area 2 19/20 Tender Package
Hornby R&amp;R, Appleton Wiske R&amp;R, Knayton R&amp;R, Hustwaite R&amp;R, Dalton and Topcliffe R&amp;R, Northallerton R&amp;R, Yafforth R&amp;R, Main Street Helperby; C86 Raskelf Lane Braferton</t>
  </si>
  <si>
    <t>DN417914</t>
  </si>
  <si>
    <t>Area 6 A61 Harrogate R&amp;R Phase 3</t>
  </si>
  <si>
    <t>DN398363</t>
  </si>
  <si>
    <r>
      <t>Area 6 A61 Ripon Road, Killinghall R&amp;R</t>
    </r>
    <r>
      <rPr>
        <i/>
        <sz val="10"/>
        <color rgb="FFFF0000"/>
        <rFont val="Arial"/>
        <family val="2"/>
      </rPr>
      <t/>
    </r>
  </si>
  <si>
    <t>DN418548</t>
  </si>
  <si>
    <t>Brownie Bridge (B6275)
Take down and rebuild upstream and downstream parapets/spandrels, concrete invert repairs, de-veg verges</t>
  </si>
  <si>
    <t>DN430948</t>
  </si>
  <si>
    <t>Scarborough Junction P
Stepney Road / Stepney Drive – alterations to roundabout (widening of entrances and exits)</t>
  </si>
  <si>
    <t>DN374915</t>
  </si>
  <si>
    <t>Wavell Infant School - Double PCU replacement and associated external works</t>
  </si>
  <si>
    <t>DN385468</t>
  </si>
  <si>
    <t>Sherburn Hungate - Enabling works</t>
  </si>
  <si>
    <t xml:space="preserve">DN445390 </t>
  </si>
  <si>
    <t>The Wensleydale School - Refurbishment of Changing Rooms
18013</t>
  </si>
  <si>
    <t xml:space="preserve">Principal Contractor - Homes for England </t>
  </si>
  <si>
    <t>DN374928</t>
  </si>
  <si>
    <t>Kirby Malzeard new car park and improvements to existing car park - Extension for the provision of a new hygiene room</t>
  </si>
  <si>
    <t>DN377499</t>
  </si>
  <si>
    <t>Internal alterations, car park improvements and external works at Nidd House</t>
  </si>
  <si>
    <t>DN418352</t>
  </si>
  <si>
    <t>Helmsley CP - toilets</t>
  </si>
  <si>
    <t>DN380560</t>
  </si>
  <si>
    <t>Classroom Extension at Burton Salmon Community Primary School</t>
  </si>
  <si>
    <t>Area 4 A169/A64 Roundabout Old Malton - 
Inlay and deeper carriageway patching of the circulatory carriageway of the A169/A64 roundabout.</t>
  </si>
  <si>
    <t>DN429447</t>
  </si>
  <si>
    <t>Alverton CPS - Conversion of bungalow into Life Skills area</t>
  </si>
  <si>
    <t>A684 West Witton Village</t>
  </si>
  <si>
    <t>Woodleigh and Woodfield EPH - demolition</t>
  </si>
  <si>
    <t>Secure Childrens Centre, Forest Moor</t>
  </si>
  <si>
    <t>Mowbray School - tbc</t>
  </si>
  <si>
    <t>Great Fryupdale Canteen - demolition</t>
  </si>
  <si>
    <t>Allertonshire bridge - demolition</t>
  </si>
  <si>
    <t>Former Barclays Bank - demolition and car parking</t>
  </si>
  <si>
    <t>101 Prospect Mount - demolition</t>
  </si>
  <si>
    <t>Water Street - Safeguarding (10912)</t>
  </si>
  <si>
    <t xml:space="preserve">Hertford Vale - Toilet refurb (19023) </t>
  </si>
  <si>
    <t>Harrogate Library</t>
  </si>
  <si>
    <t>DN408715</t>
  </si>
  <si>
    <t>Caedmon College Food Tech room</t>
  </si>
  <si>
    <t>DN265052</t>
  </si>
  <si>
    <t>Minor Adaptations</t>
  </si>
  <si>
    <t>Health &amp; Adult Services</t>
  </si>
  <si>
    <t>Harrogate Relief Road (Northern Alignment)</t>
  </si>
  <si>
    <t>Planned maintenance programme - value c.£4m with work ranging from roofing, boiler replacement, fenestration, lath and plaster ceilings, drainage works, electrical, external works - resurfacing etc</t>
  </si>
  <si>
    <t xml:space="preserve">Ella Bridge (C100)
Lifting the road level approx 1.2m - TBC.  Approach embankments and new road construction. </t>
  </si>
  <si>
    <t>Gilling Bridge (B1363)
TBC</t>
  </si>
  <si>
    <t>Rigg Mill Ford footbridge</t>
  </si>
  <si>
    <t>Quotes</t>
  </si>
  <si>
    <t xml:space="preserve"> DN453141</t>
  </si>
  <si>
    <t>Butterwick Bridge (C230)
Brick replacement on arch, repair crack in slab</t>
  </si>
  <si>
    <t>tbc
Project already in train</t>
  </si>
  <si>
    <t>CPSCF Queen street, Newborough &amp; Eastborough R&amp;R</t>
  </si>
  <si>
    <t>Area 3 - TBC</t>
  </si>
  <si>
    <t>Skelton North Bridge
Repointing, veg removal, parapet bulge repair, stone repairs on d/s voussiors</t>
  </si>
  <si>
    <t>Further Comp NYCC</t>
  </si>
  <si>
    <t>Project already in train</t>
  </si>
  <si>
    <t>Steve Hill</t>
  </si>
  <si>
    <t>Zetland Street</t>
  </si>
  <si>
    <t>Electric vehicle charging infrastructure</t>
  </si>
  <si>
    <t>Victoria Hutchinson</t>
  </si>
  <si>
    <t xml:space="preserve">DN448914 </t>
  </si>
  <si>
    <t xml:space="preserve">Whitby Swing Bridge Maintenance Contract </t>
  </si>
  <si>
    <t>Grainbeck Lane
Area 5</t>
  </si>
  <si>
    <t>Heating controls</t>
  </si>
  <si>
    <t>Brook Lodge, Selby - revamp office etc.</t>
  </si>
  <si>
    <t xml:space="preserve">DN455656 </t>
  </si>
  <si>
    <t>Area 1 2019/20 R&amp;R Tender Package</t>
  </si>
  <si>
    <t>Scott Parker (WSP)</t>
  </si>
  <si>
    <t xml:space="preserve">DN448988 </t>
  </si>
  <si>
    <t>Hambleton CE Primary School - Classroom Extension &amp; Refurbishment Works
(16033)</t>
  </si>
  <si>
    <t>email thread MSa to HEm 05/02/2020
Pending</t>
  </si>
  <si>
    <t>DN457079</t>
  </si>
  <si>
    <t>Killinghall - classroom extension
19002</t>
  </si>
  <si>
    <t>DN461360</t>
  </si>
  <si>
    <t>Scarborough Junction Q
Scalby Road / Stepney Drive – new traffic signals, road and junction widening
(Scarborough Critical Junctions - Hospital Junction)</t>
  </si>
  <si>
    <t>Lisa Flear / WSP</t>
  </si>
  <si>
    <t>DN413836</t>
  </si>
  <si>
    <t xml:space="preserve">Snaygill Ings Bridge (A629)
Remove under deck drainage pipe across rail line, install cast iron deck units </t>
  </si>
  <si>
    <t xml:space="preserve">DN440272 </t>
  </si>
  <si>
    <t>Painting Contractors Framework Contract</t>
  </si>
  <si>
    <t>Record 2 only</t>
  </si>
  <si>
    <t>DN435048</t>
  </si>
  <si>
    <t>Civil Engineering Contractors Framework 2020</t>
  </si>
  <si>
    <t>Andrew Binner / Claire Smart</t>
  </si>
  <si>
    <t>DN431920</t>
  </si>
  <si>
    <t>Middle Deepdale new primary school</t>
  </si>
  <si>
    <t>DN444823</t>
  </si>
  <si>
    <t>Sherburn Hungate Primary School - Five classroom extension, Hall &amp; Playground extension and internal remodel
16100</t>
  </si>
  <si>
    <t>Penny Pot HWRC - replacing waste system</t>
  </si>
  <si>
    <t>Norton Lodge Primary School, Malton - new school</t>
  </si>
  <si>
    <t>DN465681</t>
  </si>
  <si>
    <t>Sherburn High School - Replacement of Library Flat Roof
18032 0020</t>
  </si>
  <si>
    <t>Paula McLean /Andy Purdy (Property)
QS: Jack Fearn (Align)</t>
  </si>
  <si>
    <t>East Ayton - expansion</t>
  </si>
  <si>
    <t xml:space="preserve">Paula McLean / </t>
  </si>
  <si>
    <t>Supply, Deliver Precast Concrete U-Sections with lid</t>
  </si>
  <si>
    <t>Replacement Archivist Facilities</t>
  </si>
  <si>
    <t>Naomi Smith / 
Michael Bowron</t>
  </si>
  <si>
    <t xml:space="preserve">DN455666 </t>
  </si>
  <si>
    <t>Area 6 Winter Resurfacing &amp; Patching Tender</t>
  </si>
  <si>
    <t>Steph Deuchars (WSP)</t>
  </si>
  <si>
    <t>Folkton - Settlement investigation and remidials</t>
  </si>
  <si>
    <t>Further comp - NYCC</t>
  </si>
  <si>
    <t xml:space="preserve">DN469586 </t>
  </si>
  <si>
    <t>A165 Gristhorpe Bypass resurfacing scheme</t>
  </si>
  <si>
    <t>DN393170</t>
  </si>
  <si>
    <t>A1 Junction 47 Improvement</t>
  </si>
  <si>
    <t>[Appendix 3 23/08/2019?]</t>
  </si>
  <si>
    <t>Ken Moody
/ Mark Hugill</t>
  </si>
  <si>
    <t xml:space="preserve">DN440218 </t>
  </si>
  <si>
    <t>Carriageway Planing and Surfacing Contractors Framework</t>
  </si>
  <si>
    <t xml:space="preserve">DN485096 </t>
  </si>
  <si>
    <t>The provision of stone supply to Codgen South Bridge Works 
Cogden South - stone</t>
  </si>
  <si>
    <t>DN484907</t>
  </si>
  <si>
    <t xml:space="preserve">Repair Maintenance at River Aire - Vacuum </t>
  </si>
  <si>
    <t>Philip Richardson / Josh Calvert</t>
  </si>
  <si>
    <t xml:space="preserve">Area 4 (Package 2) - Hawnby, Old Byland
</t>
  </si>
  <si>
    <t>Tim Coyne /
WSP</t>
  </si>
  <si>
    <t>Area 4 Pickering R&amp;R
Carriageway maintenance</t>
  </si>
  <si>
    <t>Tim Coyne /
WSP
Charlie Deuchars</t>
  </si>
  <si>
    <t>Area 4 Thornton Dale R&amp;R
Carriageway maintenance</t>
  </si>
  <si>
    <t>Area 4 Wombleton R&amp;R
Carriageway maintenance</t>
  </si>
  <si>
    <t>Valley Bridge, Scarborough Maintenance Paint Works Phase 2
[painting presumed?]</t>
  </si>
  <si>
    <t>DN469487</t>
  </si>
  <si>
    <t>Brompton on Swale - redevelopment PCU Replacement</t>
  </si>
  <si>
    <t>DN465680</t>
  </si>
  <si>
    <t>Malton School - Replacement of Pitched Roof Coverings and Windows 18032 0013</t>
  </si>
  <si>
    <t>DN489469</t>
  </si>
  <si>
    <t>Dalton Lane – Road Lifting (Dalton Highway Improvement Scheme)</t>
  </si>
  <si>
    <t>DN489732</t>
  </si>
  <si>
    <t>Hodge Beck - Retaining Wall and Scour repair</t>
  </si>
  <si>
    <t>DN486075</t>
  </si>
  <si>
    <t>Skeeby Bridge (A6108)
Repointing throughout structure, check on possible anchors in arch. Repair parapets.</t>
  </si>
  <si>
    <t>Steve Hill
Jon-Pierre Winlow (Bridges)</t>
  </si>
  <si>
    <t>DN500107</t>
  </si>
  <si>
    <t>Purchase of Gas</t>
  </si>
  <si>
    <t>Direct Award - External Framework</t>
  </si>
  <si>
    <t>Permanent Cold-Lay Surfacing Materials</t>
  </si>
  <si>
    <t>Battery Storage</t>
  </si>
  <si>
    <t>Allerton Wath - Waterproofing and painting</t>
  </si>
  <si>
    <t>Open Bid</t>
  </si>
  <si>
    <t>Area 1 Wensley R&amp;R (now included in Package 2)</t>
  </si>
  <si>
    <t>WSP
Charlie Deuchars / Scott Parker</t>
  </si>
  <si>
    <t>Esk Valley Rail Infrastructure operating the trains Procurement</t>
  </si>
  <si>
    <t>Andrew Bainbridge</t>
  </si>
  <si>
    <t>HMC2012 - Gate 4</t>
  </si>
  <si>
    <t>72-12-12-12-12</t>
  </si>
  <si>
    <t>DN495415</t>
  </si>
  <si>
    <t>Stoney Haggs Road, Seamer, Scarborough</t>
  </si>
  <si>
    <t>WSP
Lisa Flear (Highways)</t>
  </si>
  <si>
    <t>DN490195</t>
  </si>
  <si>
    <t>60+28</t>
  </si>
  <si>
    <t>DN488278</t>
  </si>
  <si>
    <t>Area 4 R&amp;R 2020/21 Tender Package 
Malton, Pickering, Thornton le Dale, Wombleton &amp; Nunnington R&amp;R Package
Carriageway maintenance
Combined into one.</t>
  </si>
  <si>
    <t>DN486419</t>
  </si>
  <si>
    <t>Area 4 Gillamoor R&amp;R
Carriageway maintenance</t>
  </si>
  <si>
    <t>DN479396</t>
  </si>
  <si>
    <t>Sherburn High - fire restoration works including gym and changing rooms</t>
  </si>
  <si>
    <t>DN493044</t>
  </si>
  <si>
    <t>Queen Street Newborough, Eastborough R&amp;R</t>
  </si>
  <si>
    <t>DN482275</t>
  </si>
  <si>
    <t>DN508923</t>
  </si>
  <si>
    <t>Asset Management Data Collection and Data Delivery - Condition Surveys (SCANNER, SCRIM, CVI &amp; DVI)</t>
  </si>
  <si>
    <t>PS</t>
  </si>
  <si>
    <t>Air Conditioning Inspections TM44</t>
  </si>
  <si>
    <t>External framework?</t>
  </si>
  <si>
    <t>Katherine Edge</t>
  </si>
  <si>
    <t>DN488053</t>
  </si>
  <si>
    <t>Area 4 Package 1- Buttercrambe and Helperthorpe R&amp;R
Bossall/Buttercrambe - 60 and 100 overlay with some haunching and kerbing of accesses. Stamford Br/Buttercrambe Br - Minor kerbing and patching works. 
Long Hill - 100 overlay with some kerbing of accesses</t>
  </si>
  <si>
    <t>Mains electrical connections / ICP</t>
  </si>
  <si>
    <t xml:space="preserve">Station Gateway, Harrogate
</t>
  </si>
  <si>
    <t>Supply of portable toilets for Covid-19 mobile testing facilities</t>
  </si>
  <si>
    <t>Matthew Robinson</t>
  </si>
  <si>
    <t xml:space="preserve">Works </t>
  </si>
  <si>
    <t>Works Framework</t>
  </si>
  <si>
    <t>DN484284</t>
  </si>
  <si>
    <t>Area 2 2020/21 R&amp;R Package
Chopgate from Junction with B1257 at Seave Green to Urra, Crayke at Daffy Lane, Cheslar Pit Lane, unamed section U1656, Hutton Bonville Church Lane
Carriageway patching, overlay and sections of resurfacing</t>
  </si>
  <si>
    <t xml:space="preserve">DN490676 </t>
  </si>
  <si>
    <t>Area 4 Malton Footway R&amp;R
Footway maintenance (near school)</t>
  </si>
  <si>
    <t>DN509179</t>
  </si>
  <si>
    <t>A19 Selby flooding repairs
Chapel Haddlesey crossroads and Wand Lane, Eggborough</t>
  </si>
  <si>
    <t>James Malcolm
Vicky Belton (wsp)</t>
  </si>
  <si>
    <t>A684 Safer Routes - Buttersett Junction</t>
  </si>
  <si>
    <t>A684 Safer Routes - Patrick Brompton</t>
  </si>
  <si>
    <t>30.11.2020</t>
  </si>
  <si>
    <t>YORcivils</t>
  </si>
  <si>
    <r>
      <t xml:space="preserve">A684 Safer Routes 3 Akebar and Finghall crossroads Resurfacing and </t>
    </r>
    <r>
      <rPr>
        <sz val="10"/>
        <color rgb="FFFF0000"/>
        <rFont val="Arial"/>
        <family val="2"/>
      </rPr>
      <t>Will this be merged with line 19?</t>
    </r>
  </si>
  <si>
    <t>A684 Safer Routes 5 Spennithorpe &amp; Appersett Bridge</t>
  </si>
  <si>
    <t>DN483122</t>
  </si>
  <si>
    <t>Harper Wath - Repaint and resurface</t>
  </si>
  <si>
    <t>herburn</t>
  </si>
  <si>
    <t xml:space="preserve">DN488073 </t>
  </si>
  <si>
    <t>Low Easby Bridge - Waterproofing, Painting &amp; Invert Repair</t>
  </si>
  <si>
    <t>DN491322</t>
  </si>
  <si>
    <t>Lul Beck Cinteca anchors and pointing</t>
  </si>
  <si>
    <t>DN486097</t>
  </si>
  <si>
    <t>NYCC Area 5 Carriageway Patching and Surfacing Package 2020/21
Carriageway patching and resurfacing at 12 locations within the Skipton area of North Yorkshire.
Calton, Airton, Coniston Cold, Draughton, East Marton, Eshton, Hetton, Keighly Rd Skipton, Scosthorpe, Skipton Bypass, Sutton &amp; Winterburn</t>
  </si>
  <si>
    <t>DN483004</t>
  </si>
  <si>
    <t>Whitley New - Post tensioned inspection.  Resurface, consider VRS, concrete repairs to Ash main.  Starting point is a trial hole to find out what is in there - likely asbestos</t>
  </si>
  <si>
    <t>Area 6 Leeds Road  R&amp;R</t>
  </si>
  <si>
    <t>WSP
Scott Parker</t>
  </si>
  <si>
    <t>Area 6 Norwood Lane Beckwithshaw R&amp;R</t>
  </si>
  <si>
    <t>Area 6 Timble R&amp;R</t>
  </si>
  <si>
    <t>Area 6 Galphay Studley Roger  R&amp;R</t>
  </si>
  <si>
    <t>Area 6 Harrogate R&amp;R</t>
  </si>
  <si>
    <t>Area 1 Feetham R&amp;R</t>
  </si>
  <si>
    <t>WSP
Charlie Deuchars</t>
  </si>
  <si>
    <t>20 R&amp;R packages across four areas</t>
  </si>
  <si>
    <r>
      <t xml:space="preserve">NY Highways
1. </t>
    </r>
    <r>
      <rPr>
        <b/>
        <sz val="10"/>
        <rFont val="Arial"/>
        <family val="2"/>
      </rPr>
      <t>Building Construction Materials</t>
    </r>
    <r>
      <rPr>
        <sz val="10"/>
        <rFont val="Arial"/>
        <family val="2"/>
      </rPr>
      <t xml:space="preserve">
Sub-workstream D</t>
    </r>
  </si>
  <si>
    <t>John Putsey
Steve Barker
Nigel Smith</t>
  </si>
  <si>
    <r>
      <t>NY Highways</t>
    </r>
    <r>
      <rPr>
        <b/>
        <sz val="10"/>
        <rFont val="Arial"/>
        <family val="2"/>
      </rPr>
      <t xml:space="preserve">
10. Human Resources</t>
    </r>
    <r>
      <rPr>
        <sz val="10"/>
        <rFont val="Arial"/>
        <family val="2"/>
      </rPr>
      <t xml:space="preserve">
Sub-workstream D</t>
    </r>
  </si>
  <si>
    <t>Richard Marr
Paul Gilmore
John Putsey
Steve Barker
Nigel Smith</t>
  </si>
  <si>
    <r>
      <t xml:space="preserve">NY Highways
11. </t>
    </r>
    <r>
      <rPr>
        <b/>
        <sz val="10"/>
        <rFont val="Arial"/>
        <family val="2"/>
      </rPr>
      <t>Information Communication Technology</t>
    </r>
    <r>
      <rPr>
        <sz val="10"/>
        <rFont val="Arial"/>
        <family val="2"/>
      </rPr>
      <t xml:space="preserve">
Sub-workstream D</t>
    </r>
  </si>
  <si>
    <t>Joel Sanders
Nigel Smith</t>
  </si>
  <si>
    <r>
      <t xml:space="preserve">NY Highways
12. </t>
    </r>
    <r>
      <rPr>
        <b/>
        <sz val="10"/>
        <rFont val="Arial"/>
        <family val="2"/>
      </rPr>
      <t>Passenger Transport</t>
    </r>
    <r>
      <rPr>
        <sz val="10"/>
        <rFont val="Arial"/>
        <family val="2"/>
      </rPr>
      <t xml:space="preserve">
Sub-workstream D</t>
    </r>
  </si>
  <si>
    <t>Andrew Sharpin
Nigel Smith</t>
  </si>
  <si>
    <r>
      <t xml:space="preserve">NY Highways
13. </t>
    </r>
    <r>
      <rPr>
        <b/>
        <sz val="10"/>
        <rFont val="Arial"/>
        <family val="2"/>
      </rPr>
      <t>Vehicle Management - fleet</t>
    </r>
    <r>
      <rPr>
        <sz val="10"/>
        <rFont val="Arial"/>
        <family val="2"/>
      </rPr>
      <t xml:space="preserve">
Sub-workstream D</t>
    </r>
  </si>
  <si>
    <r>
      <t xml:space="preserve">NY Highways
2. </t>
    </r>
    <r>
      <rPr>
        <b/>
        <sz val="10"/>
        <rFont val="Arial"/>
        <family val="2"/>
      </rPr>
      <t>Environmental Services</t>
    </r>
    <r>
      <rPr>
        <sz val="10"/>
        <rFont val="Arial"/>
        <family val="2"/>
      </rPr>
      <t xml:space="preserve">
Sub-workstream D</t>
    </r>
  </si>
  <si>
    <t>Richard Christon
John Hodgson
Catherine Price
Paul Gilmore
Nigel Smith</t>
  </si>
  <si>
    <t>DPS</t>
  </si>
  <si>
    <r>
      <t xml:space="preserve">NY Highways
3. </t>
    </r>
    <r>
      <rPr>
        <b/>
        <sz val="10"/>
        <rFont val="Arial"/>
        <family val="2"/>
      </rPr>
      <t>Highway Equipment &amp; Materials</t>
    </r>
    <r>
      <rPr>
        <sz val="10"/>
        <rFont val="Arial"/>
        <family val="2"/>
      </rPr>
      <t xml:space="preserve">
Sub-workstream D</t>
    </r>
  </si>
  <si>
    <t>Andrew Binner
Paul Gilmore
Nigel Smith</t>
  </si>
  <si>
    <r>
      <t xml:space="preserve">NY Highways
4. </t>
    </r>
    <r>
      <rPr>
        <b/>
        <sz val="10"/>
        <rFont val="Arial"/>
        <family val="2"/>
      </rPr>
      <t>Street &amp; Traffic Management</t>
    </r>
    <r>
      <rPr>
        <sz val="10"/>
        <rFont val="Arial"/>
        <family val="2"/>
      </rPr>
      <t xml:space="preserve">
Sub-workstream D</t>
    </r>
  </si>
  <si>
    <r>
      <t xml:space="preserve">NY Highways
5. </t>
    </r>
    <r>
      <rPr>
        <b/>
        <sz val="10"/>
        <rFont val="Arial"/>
        <family val="2"/>
      </rPr>
      <t>Works - Construction Repair &amp; Maintenance</t>
    </r>
    <r>
      <rPr>
        <sz val="10"/>
        <rFont val="Arial"/>
        <family val="2"/>
      </rPr>
      <t xml:space="preserve">
Sub-workstream D</t>
    </r>
  </si>
  <si>
    <t>Andrew Binner 
Allan McVeigh  
Martin Garner
Allan Forsyth
Nigel Smith</t>
  </si>
  <si>
    <r>
      <t xml:space="preserve">NY Highways
6. </t>
    </r>
    <r>
      <rPr>
        <b/>
        <sz val="10"/>
        <rFont val="Arial"/>
        <family val="2"/>
      </rPr>
      <t>Clothing - PPE</t>
    </r>
    <r>
      <rPr>
        <sz val="10"/>
        <rFont val="Arial"/>
        <family val="2"/>
      </rPr>
      <t xml:space="preserve">
Sub-workstream D</t>
    </r>
  </si>
  <si>
    <t>Melaine Adams
Nigel Smith</t>
  </si>
  <si>
    <r>
      <t xml:space="preserve">NY Highways
7. </t>
    </r>
    <r>
      <rPr>
        <b/>
        <sz val="10"/>
        <rFont val="Arial"/>
        <family val="2"/>
      </rPr>
      <t>Consultancy</t>
    </r>
    <r>
      <rPr>
        <sz val="10"/>
        <rFont val="Arial"/>
        <family val="2"/>
      </rPr>
      <t xml:space="preserve">
Sub-workstream D</t>
    </r>
  </si>
  <si>
    <t>Andrew Binner
Kath Rumford
Jayne Charlton
Nigel Smith</t>
  </si>
  <si>
    <r>
      <t xml:space="preserve">NY Highways
8. </t>
    </r>
    <r>
      <rPr>
        <b/>
        <sz val="10"/>
        <rFont val="Arial"/>
        <family val="2"/>
      </rPr>
      <t>Health &amp; Safety</t>
    </r>
    <r>
      <rPr>
        <sz val="10"/>
        <rFont val="Arial"/>
        <family val="2"/>
      </rPr>
      <t xml:space="preserve">
Sub-workstream D</t>
    </r>
  </si>
  <si>
    <r>
      <t>NY Highways</t>
    </r>
    <r>
      <rPr>
        <b/>
        <sz val="10"/>
        <rFont val="Arial"/>
        <family val="2"/>
      </rPr>
      <t xml:space="preserve">
9. Horticultural</t>
    </r>
    <r>
      <rPr>
        <sz val="10"/>
        <rFont val="Arial"/>
        <family val="2"/>
      </rPr>
      <t xml:space="preserve">
Sub-workstream D</t>
    </r>
  </si>
  <si>
    <t>Pete Garnham
Nigel Smith</t>
  </si>
  <si>
    <t>Sutton Footway R&amp;R
Area 5</t>
  </si>
  <si>
    <t>Andrew Mellor</t>
  </si>
  <si>
    <t>In Scope</t>
  </si>
  <si>
    <t xml:space="preserve">Property Consultancy framework </t>
  </si>
  <si>
    <t>Area 3 Carriageway resurfacing
B1364 Victoria Road, Scarborough</t>
  </si>
  <si>
    <t>Jon Dickens</t>
  </si>
  <si>
    <t>Area 3 Carriageway resurfacing
B1364 Castle Road, Scarborough</t>
  </si>
  <si>
    <t>Area 3 Carriageway resurfacing
U793 Prospect Road, Scarborough</t>
  </si>
  <si>
    <t>Area 3 Carriageway resurfacing
U800 Moor Lane, Eastfield, Scarborough</t>
  </si>
  <si>
    <t>Area 3 Carriageway resurfacing
U116 Fieldstead Cresent, Newby</t>
  </si>
  <si>
    <t>Area 3 Carriageway resurfacing
U562 Belvedere Road, Scarborough</t>
  </si>
  <si>
    <t>Area 3 Carriageway resurfacing
U266 Alexandra Park, Woodland</t>
  </si>
  <si>
    <t>Area 3 Carriageway resurfacing
U270 Pinewood Drive, Woodland</t>
  </si>
  <si>
    <t>Area 3 Carriageway resurfacing
U257 Stepney Grove, Woodland</t>
  </si>
  <si>
    <t>Area 3 Carriageway resurfacing
U523 Springhill Lane, Scarborough</t>
  </si>
  <si>
    <t>Area 3 Carriageway resurfacing
U526 Albion Crescent, Scarborough</t>
  </si>
  <si>
    <t>Area 3 Carriageway resurfacing
U535, Cromwell Road, Scarborough</t>
  </si>
  <si>
    <t>Area 3 Carriageway resurfacing
U631 Seafield Avenue, Osgodby</t>
  </si>
  <si>
    <t>Area 3 Carriageway resurfacing
U668 Carrside, Eastfield, Scarborough</t>
  </si>
  <si>
    <t>Area 3 Carriageway resurfacing
U675 Holme Hill, Eastfield, Scarborough</t>
  </si>
  <si>
    <t>Area 3 Carriageway resurfacing
U679 Loders Green, Eastfield, Scarborough</t>
  </si>
  <si>
    <t>Area 3 Carriageway resurfacing
U682 The Meads, Eastfield, Scarborough</t>
  </si>
  <si>
    <t>Area 3 Carriageway resurfacing
U832 St Martins Square, Scarborough</t>
  </si>
  <si>
    <t>Skipton Mill - Remove stumps and rebuild sections of parapet</t>
  </si>
  <si>
    <t>Thirsk Secondary - windows and flat roofing</t>
  </si>
  <si>
    <t>Paula McLean / Andy Purdy (Property)</t>
  </si>
  <si>
    <t>Kirk Fenton - Double PCU</t>
  </si>
  <si>
    <t>Guilders - Concrete repairs, vegetation removal, apron repair.  Oxnop - Concrete Repair.  Healaugh - Concrete Repairs</t>
  </si>
  <si>
    <t>Gallows Canal Bridge (Re-decking) 
Skipton Station Access 5 (Gallows Canal Bridge)
West Yorkshire Combined Authority Transforming Cities Fund / WYCA TCF</t>
  </si>
  <si>
    <t>Adian Rayner
(Keisha Moore / Rebecca Gibson)</t>
  </si>
  <si>
    <t>Active and Sustainable Travel in Harrogate Component 1 (Public Realm Schemes)
Harrogate
West Yorkshire Combined Authority Transforming Cities Fund / WYCA TCF</t>
  </si>
  <si>
    <t>Active and Sustainable Travel in Harrogate Component 2 (Station Gateway transport measures)
Harrogate
West Yorkshire Combined Authority Transforming Cities Fund / WYCA TCF</t>
  </si>
  <si>
    <t>Active and Sustainable Travel in Harrogate Component 3 (Mitigation Measures)
Harrogate
West Yorkshire Combined Authority Transforming Cities Fund / WYCA TCF</t>
  </si>
  <si>
    <t>Broughton Road Active Travel Corridor 
Skipton Station Access 2 (Broughton Road TC)
West Yorkshire Combined Authority Transforming Cities Fund / WYCA TCF</t>
  </si>
  <si>
    <t>Olympia Park Pedestrian and Cycle Bridge, Selby
Selby Station Access 4 (Ousegate Olympia Park Bridge)
West Yorkshire Combined Authority Transforming Cities Fund / WYCA TCF</t>
  </si>
  <si>
    <t>Ousegate Active Travel Corridor and Public Realm, Selby
Selby Station Access 3 (Ousegate Public Realm)
West Yorkshire Combined Authority Transforming Cities Fund / WYCA TCF</t>
  </si>
  <si>
    <t>Railway Station to Bus Station Active Travel Improvements 
Skipton Station Access 4 (Rail Station-Bus Station)
West Yorkshire Combined Authority Transforming Cities Fund / WYCA TCF</t>
  </si>
  <si>
    <t>Railway Station to College Campus Footpath Enhancements (Craven Led Scheme)
Skipton Station Access 3 (Station-College Campus))
West Yorkshire Combined Authority Transforming Cities Fund / WYCA TCF</t>
  </si>
  <si>
    <t>Selby Station Gateway, Selby
Selby Station Access 1 (Public Realm)
West Yorkshire Combined Authority Transforming Cities Fund / WYCA TCF</t>
  </si>
  <si>
    <t>Selby Station Gateway, Selby
Selby Station Access 2 (Façade Replacement)
West Yorkshire Combined Authority Transforming Cities Fund / WYCA TCF</t>
  </si>
  <si>
    <t>Skipton Rail Station Gateway 
Skipton Station Access 1 (Rail Station Public Realm)
West Yorkshire Combined Authority Transforming Cities Fund / WYCA TCF</t>
  </si>
  <si>
    <t xml:space="preserve">DN488288 </t>
  </si>
  <si>
    <t>Cogden South (C107) &amp; Beck Reconstruct  – New Structure Works</t>
  </si>
  <si>
    <t>DN430060 
(DN370029 for Market Engagement)</t>
  </si>
  <si>
    <t>A59 Kex Gill Improvement</t>
  </si>
  <si>
    <t>Ken Moody
/ Mark Hugill
&amp; WSP</t>
  </si>
  <si>
    <t>DN516354</t>
  </si>
  <si>
    <t>A167 Retaining Wall
Repairs, veg. clearance, fence</t>
  </si>
  <si>
    <t>DN511221</t>
  </si>
  <si>
    <t>Broughton (Craven) Bridge Maintenance
Replace tie bars, anchor all of rw sections, concrete channels and pin spandrels, resurface carriageway.</t>
  </si>
  <si>
    <t>Philip Richardson / Ben Savage</t>
  </si>
  <si>
    <t>DN514018</t>
  </si>
  <si>
    <t>Area 1 R&amp;R 2020-21 Tender Package 1
(Satronside &amp; Broccabank, Feetham)</t>
  </si>
  <si>
    <t>Area 4 21-22 Tender Package 1
Birdsall
Butterwick
Sherburn
East Knapton
Cockayne
Thorn Wath
Gillamoor
Swinehead Lane Footway</t>
  </si>
  <si>
    <t>Area 4 21-22 Tender Package 2
Castle Howard Station Road
Main Street Crambe
Foston to Whitwell
Lilling Back Lane
Oak Busk Lane
Castle View
Black Dyke
Brambling Fields
Braygate Street
Middlecave Road
Oswaldkirk Speial
Staxton Hill
Broughton Footway
Little Baraugh Footway</t>
  </si>
  <si>
    <t>Allerton Wath Bridge Allerton Wath - Repaint ONLY DUPLICATE LINE</t>
  </si>
  <si>
    <t>a</t>
  </si>
  <si>
    <t>DN519986</t>
  </si>
  <si>
    <t>Posforth Bridge - Invert Repair</t>
  </si>
  <si>
    <t>DN519397</t>
  </si>
  <si>
    <t>Skipton Bridge - Urgent expansion joint repair</t>
  </si>
  <si>
    <t>DN513189</t>
  </si>
  <si>
    <t>A684 Safer Routes - Flood Warning
VMS</t>
  </si>
  <si>
    <t>60+60</t>
  </si>
  <si>
    <t>Neil Linfoot (NYCC) &amp; Adam Lambert (wsp)</t>
  </si>
  <si>
    <t>DN482124</t>
  </si>
  <si>
    <t xml:space="preserve">Spennithorne (Shuttle) Bridge Traffic Signals Refurbishment </t>
  </si>
  <si>
    <t>David Mill</t>
  </si>
  <si>
    <t>Springhead Special - Alterations</t>
  </si>
  <si>
    <t>Paula McLean / CP</t>
  </si>
  <si>
    <t>Malton Secondary - expansion
(19024)</t>
  </si>
  <si>
    <t>Paula McLean / Chris Pearson (Property)</t>
  </si>
  <si>
    <t>DN521997</t>
  </si>
  <si>
    <t>Kirkby Wharfe New - Concrete Saddle
Investigate and consider strengthening</t>
  </si>
  <si>
    <t>DN495477</t>
  </si>
  <si>
    <t xml:space="preserve">Studfold Footbridge – Replacement </t>
  </si>
  <si>
    <t>A684 Safer Routes 2 Patrick Brompton</t>
  </si>
  <si>
    <t>A684 Safer Routes 7&amp;9 Leyburn Town Centre inc Brentwood Roundabout</t>
  </si>
  <si>
    <t>Area 1 Richmond, Scotton, Wensley, Washton  R&amp;R
Package 2</t>
  </si>
  <si>
    <t>Area 4 Package 2 - Carriage Way
Yatts Road R&amp;R
Coppice Lane R&amp;R
Haygate Lane R&amp;R (including Haygate Lane and East Ings Lane)
Bean Sheaf Lane R&amp;R
Westgate R&amp;R
Hagg Side Lane R&amp;R</t>
  </si>
  <si>
    <t>Tim Coyne / Charlie Deuchars</t>
  </si>
  <si>
    <t xml:space="preserve">Area 4 Tender Package 3 Carriageway
West Fields KLM R&amp;R
Caulkeys R&amp;R
Nunnington R&amp;R
Ampleforth R&amp;R
Balksyde R&amp;R
</t>
  </si>
  <si>
    <t>DN513840</t>
  </si>
  <si>
    <t>Greta Bridge Painting Maintenance
Resurface/waterproof, grease bearings and concrete repairs to abutments.</t>
  </si>
  <si>
    <t>DN514581</t>
  </si>
  <si>
    <t>River Ribble
Clean out deck drainage units, touch up paint on beams. Remove veg and debris from footway. Install drain bearing 8</t>
  </si>
  <si>
    <t>3 weeks</t>
  </si>
  <si>
    <t>Construction Works &amp; Planned Maintenance
(may be required if procurement does not start as planned, refer to standalone project line)</t>
  </si>
  <si>
    <t>DN512208
(DN463795 - Archived)</t>
  </si>
  <si>
    <t>Science Laboratory Refurbishment at Bedale High School
18019</t>
  </si>
  <si>
    <t>Paula McLean / CD
QS: Jack Fearn</t>
  </si>
  <si>
    <t>DN509912</t>
  </si>
  <si>
    <t>Spofforth Church of England Primary School
Replacement of the West Riding Unit with new permanent building including associated external works</t>
  </si>
  <si>
    <t>Paula McLean / Chris Grayshon
QS: Tom Mackay</t>
  </si>
  <si>
    <t>DN517186</t>
  </si>
  <si>
    <t>Kidstones Gill (Raffern) - Stitching, pointing and apron repair</t>
  </si>
  <si>
    <t>Property Level Resilience Works</t>
  </si>
  <si>
    <t>DN515787</t>
  </si>
  <si>
    <t>Area 4 Hawnby, Old Byland &amp; Rosedale R&amp;R 
A40004</t>
  </si>
  <si>
    <t>DN526048</t>
  </si>
  <si>
    <t>Croft Old Spar
Repointing throughout structure, and rebuild spandrels</t>
  </si>
  <si>
    <t>West Harrogate Scheme - Area 6 NPIF</t>
  </si>
  <si>
    <t>Melisa Burnham / Rachel Massey (WSP)</t>
  </si>
  <si>
    <t>County Hall - Boiler Replacement</t>
  </si>
  <si>
    <t>Area 2 21/22 Package 10
York Road R&amp;R
York Road Drainage</t>
  </si>
  <si>
    <t>Area 2 21/22 Package 6
Great Ayton Landslip</t>
  </si>
  <si>
    <t>Area 2 21/22 Package 7
Kilburn Landslip</t>
  </si>
  <si>
    <t>Area 2 21/22 Package 8
Alne Landslip</t>
  </si>
  <si>
    <t>Area 2 21/22 Package 11
Thirsk Market Place Phase 1 Special</t>
  </si>
  <si>
    <t>Area 4 21/22 Package 2 (R&amp;R)
(Includes Jamie Craggs / Castle Howard Station Road; Main Street Crambe; Foston to Whitwell; Lilling Back Lane; Oak Busk Lane; Castle View; Black Dike; Brambling Fields; Braygate Street; Middlecave Road; Oswaldkirk Special; Staxton Hill; Broughton Footway; and Little Barugh Footway)</t>
  </si>
  <si>
    <t>Area 6 21/22 A6 Footway</t>
  </si>
  <si>
    <t>Area 7 21/22 Carriageway Schemes Cat 4</t>
  </si>
  <si>
    <t>Area 7 21/22 Footway Schemes</t>
  </si>
  <si>
    <t xml:space="preserve">DN515948 </t>
  </si>
  <si>
    <t>Area 1 Cravengate Footway R&amp;R 
(Cravengate, Richmond; Cat 4b R&amp;R)</t>
  </si>
  <si>
    <t xml:space="preserve"> DN524884</t>
  </si>
  <si>
    <t>Area 2 PSDP Package 
Tender Package 12
()1/04/2021 - Now Made Package 13)</t>
  </si>
  <si>
    <t>Area 3 Carriageway resurfacing combined package
B1364 Victoria Road, Scarborough
B1364 Castle Road, Scarborough
U793 Prospect Road, Scarborough
U800 Moor Lane, Eastfield, Scarborough
U116 Fieldstead Cresent, Newby
U562 Belvedere Road, Scarborough
U266 Alexandra Park, Woodland
U270 Pinewood Drive, Woodland
U257 Stepney Grove, Woodland
U523 Springhill Lane, Scarborough
U526 Albion Crescent, Scarborough
U535, Cromwell Road, Scarborough
U631 Seafield Avenue, Osgodby
U668 Carrside, Eastfield, Scarborough
U675 Holme Hill, Eastfield, Scarborough
U679 Loders Green, Eastfield, Scarborough
U682 The Meads, Eastfield, Scarborough
U832 St Martins Square, Scarborough</t>
  </si>
  <si>
    <t>Area 6 Rural Package:
Combination of Area 6 Timble R&amp;R; 
Area 6 Norwood Lane Beckwithshaw R&amp;R;
Area 6 Galphay Studley Roger  R&amp;R</t>
  </si>
  <si>
    <t>DN514589</t>
  </si>
  <si>
    <t>Carleton Endowed Single Classroom Extension</t>
  </si>
  <si>
    <t>DN515382</t>
  </si>
  <si>
    <t>Carlton in Snaith - Remodelling of Pupil Toilet Accommodation and Asbestos Abatement Works (19009)</t>
  </si>
  <si>
    <t>Crimple Beck - General Maintenance</t>
  </si>
  <si>
    <t>Flood Pump Infrastructure</t>
  </si>
  <si>
    <t>Snaygill Ings Bridge, Skipton</t>
  </si>
  <si>
    <t>Area 6 Urban Package:
Combination of Area 6 Leeds Road  R&amp;R:
Area 6 Harrogate R&amp;R</t>
  </si>
  <si>
    <t>DN203182</t>
  </si>
  <si>
    <t>Weather Forecasting Contract and Weather Station Bureau Service - Gate 4</t>
  </si>
  <si>
    <t>Brompton on Swale Household Waste Recycling Centre</t>
  </si>
  <si>
    <t xml:space="preserve">Clinical waste </t>
  </si>
  <si>
    <t>DN522691</t>
  </si>
  <si>
    <t>Ladycross caravan park, Egton
Anglo American</t>
  </si>
  <si>
    <t>DN496164</t>
  </si>
  <si>
    <t>Manse Farm - 1 form entry school, Knaresborough
18015</t>
  </si>
  <si>
    <t>DN528298</t>
  </si>
  <si>
    <t>Thirsk School &amp; Sixth Form - Toilet &amp; Kitchen Refurbishment, Dining Room Extension and Window/Roof Maintenance</t>
  </si>
  <si>
    <t>DN529575</t>
  </si>
  <si>
    <t>Whitley &amp; Eggborough CPS - Kitchen and Toilet Refurbishment</t>
  </si>
  <si>
    <t>North Northallerton New Primary School
18035</t>
  </si>
  <si>
    <t>Area 6 21/22 Patching
A60005</t>
  </si>
  <si>
    <t>DN538129</t>
  </si>
  <si>
    <t>Area 5 Carriageway Surfacing Package No.1A  21/22
12 schemes involving overlay, inlay, patching, road marking and minor works
A50001</t>
  </si>
  <si>
    <t>DN524840</t>
  </si>
  <si>
    <t>Upper Wharfedale - Swimming pool options (19013)</t>
  </si>
  <si>
    <t>DN527984</t>
  </si>
  <si>
    <t>Wensleydale School - Lift (19015)</t>
  </si>
  <si>
    <t>DN533115</t>
  </si>
  <si>
    <t>Easingwold CP - Class refurb &amp; expansion</t>
  </si>
  <si>
    <t>Extra Care Housing</t>
  </si>
  <si>
    <t>Road Footbridges
Rillington Ford Beck</t>
  </si>
  <si>
    <t>Croft - Deveg and Minor stone repairs</t>
  </si>
  <si>
    <t>Selby Canal Swing No.52 Redecking
7004</t>
  </si>
  <si>
    <t>DN528035</t>
  </si>
  <si>
    <t>Sherburn CE - review of temp unit</t>
  </si>
  <si>
    <t>3 Racecourse Lane, Nothallerton, Adaptations and alterations</t>
  </si>
  <si>
    <t>DN534923</t>
  </si>
  <si>
    <t>Barlow CE (tfr from Clapham PS) - relocation of PCU
20020</t>
  </si>
  <si>
    <t>Fenestration Framework</t>
  </si>
  <si>
    <t>Wistow CE Toilet refurbishment</t>
  </si>
  <si>
    <t>DN532063</t>
  </si>
  <si>
    <t>Staveley Community Primary School Extension to form Library and Hygiene Room
(19007)</t>
  </si>
  <si>
    <t>DN536112</t>
  </si>
  <si>
    <t>Area 4 21/22 Package 4
Pre Surface Dressing Patching (PSDP)
A40003</t>
  </si>
  <si>
    <t>DN540204</t>
  </si>
  <si>
    <t xml:space="preserve">Duchess of Kent - Upgrade monitoring system.  South joint repair.  </t>
  </si>
  <si>
    <t xml:space="preserve"> DN532198</t>
  </si>
  <si>
    <t>Sutton in Craven - Hygiene Room 
(19006)</t>
  </si>
  <si>
    <t>DN537620</t>
  </si>
  <si>
    <t>Area 4 21/22 Package 3
R&amp;R
Old Malton Road 
Yorkersgate
Yorkersgate Footway
Commercial Street, Norton
A40002</t>
  </si>
  <si>
    <t>Gate Bridge Culvert
Repair of culvert by relining, rebuilding of stone headwall, removal of temporary bridge and resurfacing of carriageway
A70004</t>
  </si>
  <si>
    <t>DN543703</t>
  </si>
  <si>
    <t>Brompton Station Bridge (Bow Bridge) Parapet Repair and Repointing
595</t>
  </si>
  <si>
    <t>DN531211</t>
  </si>
  <si>
    <t>Sicklinghall - kitchen refurb
18020</t>
  </si>
  <si>
    <t>DN525510</t>
  </si>
  <si>
    <t xml:space="preserve">West Heslerton &amp; Hertford Vale - Toilet Refurb (19016 &amp; 19023) </t>
  </si>
  <si>
    <t>DN530276</t>
  </si>
  <si>
    <t>Risedale - lab refurbishment
(20012) and food tech and art</t>
  </si>
  <si>
    <t>DN540228</t>
  </si>
  <si>
    <t>Work Pack 1 - Replacement of timber, UPVc and aluminium windows and curtain walling at a number of sites across North Yorkshire (Scarborough / Ryedale)
(Lindhead School, Seamer &amp; Irton CPS, Northstead CPS, Caedmon College, Eskdale School and Malton Library)</t>
  </si>
  <si>
    <t>liquid</t>
  </si>
  <si>
    <t>Extend</t>
  </si>
  <si>
    <t>DN525264</t>
  </si>
  <si>
    <t>Sinnington CP - Pitched roof replacement</t>
  </si>
  <si>
    <t>Delay</t>
  </si>
  <si>
    <t>DN539099</t>
  </si>
  <si>
    <t>Area 4 21/22 Package 1 (Carriageway)
(Includes Birdsall; Oswalkirk Special, Crambe R&amp;R, Staxton Hill R&amp;R )
A40001</t>
  </si>
  <si>
    <t>DN540244</t>
  </si>
  <si>
    <t>Work Pack 2 - Replacement of timber, UPVc and aluminium windows and curtain walling at a number of sites across North Yorkshire (Harrogate / Craven)
(Ingleton Primary School, Settle College, King James's School, Boroughbridge High School)</t>
  </si>
  <si>
    <t>DN533091</t>
  </si>
  <si>
    <t>Dishforth Airfield - Extensions and car park (17040)</t>
  </si>
  <si>
    <t>DN517905</t>
  </si>
  <si>
    <t>Wavel Infant &amp; Junior School - PCU replacement &amp; internal alterations / corridor</t>
  </si>
  <si>
    <t>DN549226</t>
  </si>
  <si>
    <t>Area 6 21/22 A6 North
A60003</t>
  </si>
  <si>
    <t>1 month</t>
  </si>
  <si>
    <t>DN545823</t>
  </si>
  <si>
    <t>Area 2 21/22 Package 3
Raskelf Road
A20003</t>
  </si>
  <si>
    <t>DN545232</t>
  </si>
  <si>
    <t>Area 2 21/22 Package 2
North Road Stokesley
Stokesley Footway
A20002</t>
  </si>
  <si>
    <t>Area 2 Tender Package 12 Sutton Bank Annual Maintenance
A20008</t>
  </si>
  <si>
    <t>DN536057</t>
  </si>
  <si>
    <t>Three Gables
Repair damaged beam and sort drainage
A80007</t>
  </si>
  <si>
    <t>Malton R&amp;R area 4</t>
  </si>
  <si>
    <t>DN548863</t>
  </si>
  <si>
    <t>Low Faggergill and Wood House For Supply Contract</t>
  </si>
  <si>
    <t>DN541642</t>
  </si>
  <si>
    <t>Work Pack 3 - Salix Decarbonisation - Window Replacement - Harrogate / Craven - Corporate Starbeck &amp; Manor House Elderly Persons home.</t>
  </si>
  <si>
    <t>DN550127</t>
  </si>
  <si>
    <t>Pot Bridge Bridge Arch repairs/ strengthening an spandrel wall repairs
A80005
1196</t>
  </si>
  <si>
    <t>DN543924</t>
  </si>
  <si>
    <t>Roof Repairs at Hutton Rudby Primary School</t>
  </si>
  <si>
    <t>DN546076</t>
  </si>
  <si>
    <t>Osmotherley Footbridge Replacement GRP FBR
3537</t>
  </si>
  <si>
    <t>DN550724</t>
  </si>
  <si>
    <t>Pickering Atmosphere – internal adaptations</t>
  </si>
  <si>
    <t>DN548902
(V1Archived - DN540456)</t>
  </si>
  <si>
    <t>A6131 The Bailey, Skipton</t>
  </si>
  <si>
    <t>Composition and Purity Testing and Analysis Services Framework</t>
  </si>
  <si>
    <t>DN547807</t>
  </si>
  <si>
    <t>Area 7 21/22 PSD Patching
A70002</t>
  </si>
  <si>
    <t>DN551227</t>
  </si>
  <si>
    <t>Harlow Moor Road Junction
(West Harrogate Scheme (NPIF) Phase 1)
Junction improvement works
A60010</t>
  </si>
  <si>
    <t>DN503248</t>
  </si>
  <si>
    <t>Civil Engineering Contractors Framework
2021-2025 framework</t>
  </si>
  <si>
    <t>DN550458</t>
  </si>
  <si>
    <t>Scarborough Junction N
Falsgrave Road / Scalby Road – new traffic signals
A170 (Crown Tavern Junction)</t>
  </si>
  <si>
    <t>DN557104</t>
  </si>
  <si>
    <r>
      <t xml:space="preserve">Area 1 Package 4 21/22 Carriageway
</t>
    </r>
    <r>
      <rPr>
        <strike/>
        <sz val="10"/>
        <rFont val="Arial"/>
        <family val="2"/>
      </rPr>
      <t xml:space="preserve">Cat 3a R&amp;R - Gilling West </t>
    </r>
    <r>
      <rPr>
        <sz val="10"/>
        <rFont val="Arial"/>
        <family val="2"/>
      </rPr>
      <t xml:space="preserve">
Scheme 1- C7/2/70 &amp; C7/2/85 Stapleton to Cleasby R&amp;R 
Scheme 3- B6274/1/40 High Street, Gilling West Drainage
Scheme 4- U1206/1/30,U1206/1/50,U1206/1/70 &amp; U1206/1/90 Colburn Lane &amp; U1208/1/50 Low Hall Lane
A10005
</t>
    </r>
  </si>
  <si>
    <t>DN561288</t>
  </si>
  <si>
    <t>Wood House Footbridge
Replacement structure
3840</t>
  </si>
  <si>
    <t>DN557027</t>
  </si>
  <si>
    <t>West Harsley Culvert Bridge Replacement or strengthening
A80009
933</t>
  </si>
  <si>
    <t>DN553094</t>
  </si>
  <si>
    <t>Allerton Wath - Parapet replacement and deck painting
608</t>
  </si>
  <si>
    <t>DN557629</t>
  </si>
  <si>
    <t>Hutton Rudby Bridge Concrete and Stone repairs
373</t>
  </si>
  <si>
    <t>North Northallerton / Knaresborough Manse Farm - Principles Gateway 1 and pricing options</t>
  </si>
  <si>
    <t>DN550512</t>
  </si>
  <si>
    <t>Diving framework 2021-2025</t>
  </si>
  <si>
    <t>DN549594</t>
  </si>
  <si>
    <t>Area 7 M62 Junction 34 Selby Roundabout Resurfacing</t>
  </si>
  <si>
    <t>DN557201</t>
  </si>
  <si>
    <t>Blueberry Way
Scarborough</t>
  </si>
  <si>
    <t>DN545317</t>
  </si>
  <si>
    <t>Area 2 21/22 Package 1
Grammar School Lane
A167 Great Smeaton
A20001</t>
  </si>
  <si>
    <t>key decision</t>
  </si>
  <si>
    <t>Holywell Bridge Lining repair
A80003
736</t>
  </si>
  <si>
    <t>Surrender Bridge Drainage &amp; Underpinning</t>
  </si>
  <si>
    <t>Traffic Signal Refurbishment - Skipton Road / Bilton Lane Harrogate
NY6-07-J</t>
  </si>
  <si>
    <t>River Aire
Centre Joint over the river needs maintenance and all the drainage channels need modifying. Minor concrete repairs.
A80006
1106</t>
  </si>
  <si>
    <t>Area 1 SRF - Patrick Brompton and Crakehall</t>
  </si>
  <si>
    <t>DN560484</t>
  </si>
  <si>
    <r>
      <t xml:space="preserve">Area 1 Package 2 21/22
R&amp;R to
</t>
    </r>
    <r>
      <rPr>
        <strike/>
        <sz val="10"/>
        <rFont val="Arial"/>
        <family val="2"/>
      </rPr>
      <t>C122 Hudswell to Holy Hill</t>
    </r>
    <r>
      <rPr>
        <sz val="10"/>
        <rFont val="Arial"/>
        <family val="2"/>
      </rPr>
      <t xml:space="preserve">
C28 Lucy Cross to Aldbrough St John
C35 Pinkers Pond to Middleham Gallops
</t>
    </r>
    <r>
      <rPr>
        <strike/>
        <sz val="10"/>
        <rFont val="Arial"/>
        <family val="2"/>
      </rPr>
      <t>C7 Eppleby to Greystone</t>
    </r>
    <r>
      <rPr>
        <sz val="10"/>
        <rFont val="Arial"/>
        <family val="2"/>
      </rPr>
      <t xml:space="preserve">
U1227 St Giles Farm Road
</t>
    </r>
    <r>
      <rPr>
        <strike/>
        <sz val="10"/>
        <rFont val="Arial"/>
        <family val="2"/>
      </rPr>
      <t xml:space="preserve">U1384 Uckerby Hall Road
U1385 Uckerby Grange Road
</t>
    </r>
    <r>
      <rPr>
        <sz val="10"/>
        <rFont val="Arial"/>
        <family val="2"/>
      </rPr>
      <t>U1227 St Giles Farm Road
A10003</t>
    </r>
  </si>
  <si>
    <t>Culvert inspections, CCTV and jetting</t>
  </si>
  <si>
    <t>DN552297</t>
  </si>
  <si>
    <t>Fairburn Crag Area 7 landslip
A70003</t>
  </si>
  <si>
    <t>DN550216</t>
  </si>
  <si>
    <t>Area 3 Landslips Whitby
East Ayton, Delves, Beckhole, Ridgelane, Borrowby Lane</t>
  </si>
  <si>
    <t>DN540537</t>
  </si>
  <si>
    <t>Work Pack Pickering EPH - Replacement of timber, UPVc and aluminium windows and curtain walling at a number of sites across North Yorkshire</t>
  </si>
  <si>
    <t>Rathmell Low Bridge Invert Repair and arch stitching - see flood inspection and BCI
1353</t>
  </si>
  <si>
    <t>Oakbeck Bridge New structure Culvert Supply
A80008b
751b</t>
  </si>
  <si>
    <t>DN542096</t>
  </si>
  <si>
    <t>Easingwold Business Park &amp; York Road Bus Stop</t>
  </si>
  <si>
    <t>DN552443</t>
  </si>
  <si>
    <t>Selby North Children’s Centre – internal adaptations</t>
  </si>
  <si>
    <t>DN543297</t>
  </si>
  <si>
    <t>County Hall - East Block demolition, removal of temporary buildings [&amp; additional car parking] (Package 2)</t>
  </si>
  <si>
    <t>Malton Emergency Pumping</t>
  </si>
  <si>
    <t>Vacant Property / Rates Mitigation</t>
  </si>
  <si>
    <t>Area 7 21/22 Carriageway Schemes Cat 2, 3
A70001</t>
  </si>
  <si>
    <t>DN549042</t>
  </si>
  <si>
    <t>Area 6 21/22 A6 Harrogate
A60002</t>
  </si>
  <si>
    <t>DN580019</t>
  </si>
  <si>
    <t>Area 7 Burn Airfield
(Trans Pennine Trail Burn Airfield Shared Footway / Cycleway)</t>
  </si>
  <si>
    <t>DN567424</t>
  </si>
  <si>
    <t>Ouse Swing - surfacing and joint repair</t>
  </si>
  <si>
    <t>DN548334</t>
  </si>
  <si>
    <t>Staithes landslip area 3
Rock nailing and netting
A30002</t>
  </si>
  <si>
    <t>DN549599</t>
  </si>
  <si>
    <t>Area 6 21/22 South
A60006</t>
  </si>
  <si>
    <t>DN567834</t>
  </si>
  <si>
    <t>Richmond Methodist Primary School - 20011 Conversion of bungalow to nursery - 2022</t>
  </si>
  <si>
    <t>DN560540</t>
  </si>
  <si>
    <t>Oakbeck Bridge New structure Main Works
A80008a
751a</t>
  </si>
  <si>
    <t>DN573968</t>
  </si>
  <si>
    <t>Pickering Atmosphere - internal adaptations</t>
  </si>
  <si>
    <t>NY Highways
Overall project
Delivery Options Post HMC2012 (DOPH)</t>
  </si>
  <si>
    <r>
      <t xml:space="preserve">Hard Facilities Management Servicing and Repairs 
(Refresh to 2020-2024 /  current)
</t>
    </r>
    <r>
      <rPr>
        <b/>
        <sz val="10"/>
        <rFont val="Arial"/>
        <family val="2"/>
      </rPr>
      <t xml:space="preserve">Mechanical and Electrical Equipment
Lot 2
</t>
    </r>
    <r>
      <rPr>
        <sz val="10"/>
        <rFont val="Arial"/>
        <family val="2"/>
      </rPr>
      <t>23/24 onwards 01/02/2023</t>
    </r>
  </si>
  <si>
    <t xml:space="preserve">Ripon Barracks Four Junctions </t>
  </si>
  <si>
    <t>DN556032</t>
  </si>
  <si>
    <t>Limehouse Lane Culvert North and South- Re-point culvert
1123</t>
  </si>
  <si>
    <t>1 Month</t>
  </si>
  <si>
    <t>Gray Bridge Arch and Invert Repairs
A80002
1219</t>
  </si>
  <si>
    <t>DN552462</t>
  </si>
  <si>
    <t>Area 6 Wetherby Roundabout
A60008
Junction 46</t>
  </si>
  <si>
    <t>DN549839</t>
  </si>
  <si>
    <t>Area 2 21/22 Package 4
Stillington Footway
Moor Lane
A20004</t>
  </si>
  <si>
    <t>DN562668</t>
  </si>
  <si>
    <t>Helredale Laybys, Whitby
Anglo American civil engineering works</t>
  </si>
  <si>
    <t>Hornington Bridge Parapet Repairs</t>
  </si>
  <si>
    <t>Winter Warm Fund Air Source Heat Pumps</t>
  </si>
  <si>
    <t>DN560373</t>
  </si>
  <si>
    <r>
      <t xml:space="preserve">Area 1 Package 3 21/22
R&amp;R to
</t>
    </r>
    <r>
      <rPr>
        <strike/>
        <sz val="10"/>
        <color rgb="FFFFFFFF"/>
        <rFont val="Arial"/>
        <family val="2"/>
      </rPr>
      <t>C109 Marrick to Reels Head</t>
    </r>
    <r>
      <rPr>
        <sz val="10"/>
        <color rgb="FFFFFFFF"/>
        <rFont val="Arial"/>
        <family val="2"/>
      </rPr>
      <t xml:space="preserve">
C32 Beggarmans Road Fleet Moss
U207 Sedbusk to Litherskew
</t>
    </r>
    <r>
      <rPr>
        <strike/>
        <sz val="10"/>
        <color rgb="FFFFFFFF"/>
        <rFont val="Arial"/>
        <family val="2"/>
      </rPr>
      <t>U224 Kettlewell Lane, Camms House</t>
    </r>
    <r>
      <rPr>
        <sz val="10"/>
        <color rgb="FFFFFFFF"/>
        <rFont val="Arial"/>
        <family val="2"/>
      </rPr>
      <t xml:space="preserve">
U3129 Track to Harmby Moor House
U933 Newbiggin to Street Head
A10004</t>
    </r>
  </si>
  <si>
    <t>Area 1 Gilling West Drainage
A10001</t>
  </si>
  <si>
    <t>Hard Facilities Management Servicing and Repairs 
(Refresh to 2020-2024 /  current)
General Building: Responsive Maintenance Framework
Lot 1
2022/23, 23/24 plus 12+12</t>
  </si>
  <si>
    <t>Hard Facilities Management Servicing and Repairs 
(Refresh to 2020-2024 /  current)
Fixed Electrical Inspection and Testing and Portable Appliance Testing Framework
Lot 6
2022/23, 23/24 plus 12+12</t>
  </si>
  <si>
    <t>Servicing of Outside &amp; inside Play / Sports / Gym equipment in schools</t>
  </si>
  <si>
    <t>8+12+12</t>
  </si>
  <si>
    <t>Traffic Signal Refurbishment - Skipton Road / Kings Road Harrogate
NY6-18-J
Traffic Signal Refurbishment - Skipton Road / Bilton Lane Harrogate
NY6-07-J</t>
  </si>
  <si>
    <t>Pateley Footbridge Bridge Replace surfacing
A80004
1233.1</t>
  </si>
  <si>
    <t>Kerbside waste food collection / waste strategy
Changes to the Environment Bill</t>
  </si>
  <si>
    <t>DN560403</t>
  </si>
  <si>
    <t>Area 1 Package 1 21/22
Cat 3a R&amp;R Gilling Road
Cat 3b Patching Barton
A10002</t>
  </si>
  <si>
    <t>Colburndale 
s278 Adoptable Standard road surfacing</t>
  </si>
  <si>
    <t>Area 2 Tender Package 7 Market Place Phase 1 Special
Thirsk Market Place
Replacing riven flags through the Market Place
A20007</t>
  </si>
  <si>
    <t>DN550935</t>
  </si>
  <si>
    <r>
      <t xml:space="preserve">Area 2 21/22 Package 5
</t>
    </r>
    <r>
      <rPr>
        <strike/>
        <sz val="10"/>
        <rFont val="Arial"/>
        <family val="2"/>
      </rPr>
      <t>Stillington Drainage
Clifton on Yore Drainage</t>
    </r>
    <r>
      <rPr>
        <sz val="10"/>
        <rFont val="Arial"/>
        <family val="2"/>
      </rPr>
      <t xml:space="preserve">
Topcliffe Road Drainage
A20005</t>
    </r>
  </si>
  <si>
    <t>Area 2 Tender Package 6
Landslips</t>
  </si>
  <si>
    <t>Area 2
Tender Package 3: R&amp;R Schemes
Romanby Road R &amp; R
Tollerton R &amp; R
Uppleby R &amp; R
Boltby R &amp; R (2 link and sections)
Aldwark R &amp; R
Pickhill R &amp; R (3 link and sections)
Howe R &amp; R</t>
  </si>
  <si>
    <t>Area 3 East Ayton Landslips
A30001</t>
  </si>
  <si>
    <t>DN532242</t>
  </si>
  <si>
    <t>A684 Safer Routes Combined Package
3 Akebar Resurfacing and Drainage
8 Cotteriggs and Thwaite Bridge Drainage
13 Unthank Farm Drainage
16 Oak Tree Farm Drainage
A10009</t>
  </si>
  <si>
    <t>Area 1 - Cat 4b Patching
A10009</t>
  </si>
  <si>
    <t>Area 1 Cravengate, Richmond
Kerbing, traffic calming and resurfacing
A10008</t>
  </si>
  <si>
    <t>Browna Gill Culvert
Area 1
A10011</t>
  </si>
  <si>
    <t>West Scrafton Culvert
Area 1
A10007</t>
  </si>
  <si>
    <t xml:space="preserve">Active Travel Across the County
Guisborough Road. Whitby                                              
</t>
  </si>
  <si>
    <t>A682 Safer Roads Scheme VRS
Vehicle Restraint
A10011</t>
  </si>
  <si>
    <t xml:space="preserve">Area 3
Tender Package 4:
Butterwick R&amp;R C/F
Sherburn R&amp;R C/F
Brambling Fields R&amp;R C/F
Braygate Street R&amp;R C/F
Jamie Craggs R&amp;R C/F
</t>
  </si>
  <si>
    <t>Hard Facilities Management Servicing and Repairs 
(Refresh to 2020-2024 /  current)
Alarms (Intruder and Fire): Servicing and Responsive Maintenance Framework
Lot 3
2022/23, 23/24 plus 12+12</t>
  </si>
  <si>
    <t>04/05/2022 Confirmation recieved from client that the contract is now live as of 01 May 2022. Notices published on YORtender.
20/04/2022 Informed that the contract printing is on hold while price amendment requests are reviewed as a result of client amendments.
22/03/2022 Confirmed with Shaun that the start date is now 01 May 2022. Awaiting signed copy of the contract to publish contract award notice.
01/03/2022 Standstill ended, informed bidders and client of this so mobilisation can commence.
28/02/2022 Feedback requested reiceived from DFP. Asked Sarah M from legal if standstill would need to be extended. Was informed it would not as there is not indication that the bidder wants the information as part of a challenge or dispute only for improvement for furture submissions.
21/02/2022 Standstill extended to 28 February following legal advise due to a couple of clarification / dispute letters recieved.
10/02/2022 Notifications letters sent to suppliers. Standstill ends 21 February 2022.
09/02/2022 G3 asigned off
31/01/2022 Sent additional price / saving information to Vicki, Howard &amp; Abbey as requested.
14/01/2022 Gate 3 signed off by Kevin. Sent onto Martin for processing.
13/01/2022 Approval given by Shaun Tunney to proceed with award process.
21/12/2021 Response receievd from Churches and shared with the project team and MSi for further review. Service area plan to subcontract the current arrangeemnt through the responsive maintenance contract to allow for additional mobilisation time.
17/12/2021 Further clarification sent to Churches around repair items
08/12/2021 Remider clarification sent out around additaionl information required. Response deadline 13/12 at 09:00.
06/12/2021 Clarification sent out on abnormally low tender, awaiting response by Wed at 16:00. Initial response received giving a overview of the pricing but not enough detail. Requested breakdown of prices.
29/11/2021 Went through Gate 3 with Shaun. Ian has raised concerns with the successful bidder and therefore the G3 is on hold while I get the detail from the client and address these.
26/11/2021 Consensus concluded and gate 3 r3eport drafted and sent to client for approval.
18/11/2021 Verified and returns shared with evaluators. Concensus booked in for 25/26 Nov.
19/10/2021 Gate 2 signed off and project published, returns 18 November
18/10/2021 Initial Gate 2 amendments made. Awaiting further comments.
15/10/2021 Gate 2 review in progress
08/10/2021 Property Service still working on the other two in regards to pricing information and information required by legal (e.g. guarantees)
04/10/2021 Documents mostly prepped. Finalising price models, contract notices and evaluation models. Also awaiting confirmation on insurance and T&amp;Cs from legal.
08/09/2021 Approval received from all three Directors.
07/09/2021 Kevin approved report and it has now been sent on to Directors for approval. Meeting held on quality questions with project team.
06/09/2021 Gate 1 finalised and sent to Kevin for approval.
16/08/2021 New draft programme shared with project team and gate 1 document started. Informed client of TUPE requirements and sent over templates for them to use.
2021/08/10 Refreshed line for Lot 1 &amp;3 rerun.  Assumed value, tbc by project team
2020/03/05 Future potential requirement, pending extension being taken out in 2021 and 2022, full requirement would run from 01/04/2024</t>
  </si>
  <si>
    <t>Coring framework</t>
  </si>
  <si>
    <t>Cowling Primary School Planned maintenance - drainage works - 2022
Now extending playground</t>
  </si>
  <si>
    <t>Provision of Operated Plant Hire Services including the Hire of Street Sweepers, Gully Tankers, High Pressure Jetters and Bulk Tankers (Street Cleansing)</t>
  </si>
  <si>
    <t>Chris Winson</t>
  </si>
  <si>
    <t>DPS - Call off</t>
  </si>
  <si>
    <t>Helen Newall</t>
  </si>
  <si>
    <t>Education</t>
  </si>
  <si>
    <t>In-house</t>
  </si>
  <si>
    <t>DN537928</t>
  </si>
  <si>
    <t>Idox Uniform / TLC software</t>
  </si>
  <si>
    <t xml:space="preserve">Idox  </t>
  </si>
  <si>
    <t xml:space="preserve"> N/A </t>
  </si>
  <si>
    <t>Annual renewal taken as compliant  frameowrk route not suitable due to sign off required and 3 year contract length. One year exemption approved</t>
  </si>
  <si>
    <t>Tim Informed a series of Idox upgrades scheduled into July/August 2022, no changes planned or possible on that basis, aside from the fact that Idox is massively embedded and common to all districts, is being looked at collectively as part of LGR. Found compliant CCS framework but min 3 year term. Exception to be reviewed prior to renewal. Renewal received 23/02/23. Estimated cost for 22/23 £54k need to confirm with Tim</t>
  </si>
  <si>
    <t>DN562139</t>
  </si>
  <si>
    <t>Tim Sedman/Theresa  Dykstra</t>
  </si>
  <si>
    <t>Exemption approved untill 31.08.22, due integration into other systems. Rolling contracts cant see value</t>
  </si>
  <si>
    <t>RazorBlue</t>
  </si>
  <si>
    <t>Tim informed this is to continue on rolling annual until LGR, upgrades being discussed with Razorblue currently, to be scheduled Oct/Nov 22</t>
  </si>
  <si>
    <t>1 Year rolling</t>
  </si>
  <si>
    <t xml:space="preserve">Elizabeth Heath </t>
  </si>
  <si>
    <t>Perimeter Anti-virus</t>
  </si>
  <si>
    <t>Tim informed this has been renewed with Mimecast for a further year.  Still the cheapest / most suitable and in use by the majority of other NY councils but probably the last time we’ll renew on this basis.</t>
  </si>
  <si>
    <t>DN542727</t>
  </si>
  <si>
    <t>Legal Case Management System</t>
  </si>
  <si>
    <t>Iken</t>
  </si>
  <si>
    <t>Theresa Dykstra</t>
  </si>
  <si>
    <t>Exemption in place  for max 5 years. Annual rolling to be reviewed prior to renewal</t>
  </si>
  <si>
    <t>Tim informed no changes planned until UPS is replaced as hardware support is via manufacturer, due 2024/25 (though LGR is likely to dictate)</t>
  </si>
  <si>
    <t>Tim to continue on rolling annual basis until LGR and links to CTBT05</t>
  </si>
  <si>
    <t>Tim informed this requirement is likely to wind down very quickly once we reach 01/04/23, I don’t envisage changes before then.</t>
  </si>
  <si>
    <t>Tim informed there are no plans for change with LGR and ‘New ways of working’ approach (fewer people in the building and usage dropped as a result) in mind.  Printers are overdue for renewal but difficult to scope requirements with so many unknowns in mind currently.  Has been raised during LGR workshops as is relevant to other Councils in a similar position. Annual rolling contract currently.</t>
  </si>
  <si>
    <t>Annual Rolling</t>
  </si>
  <si>
    <t>Anton Hodge/Tim Sedman</t>
  </si>
  <si>
    <t>Rolling contract buy this might link into an NYCC contract</t>
  </si>
  <si>
    <t>DN193000</t>
  </si>
  <si>
    <t>Yortender</t>
  </si>
  <si>
    <t>Confirmed with Lloyds that we are taking the 1 year extension</t>
  </si>
  <si>
    <t>initial term</t>
  </si>
  <si>
    <t>Economic impact assessment of future highways/transport development</t>
  </si>
  <si>
    <t>£80 - £100k</t>
  </si>
  <si>
    <t>undecided</t>
  </si>
  <si>
    <t>Andrew Bainbridge / Mark Kibblewhite</t>
  </si>
  <si>
    <t>To provide an assessment of the impact that implementation of the Transport Prospectus would have on the economy of North Yorkshire and its wider hinterlads</t>
  </si>
  <si>
    <t>Capital Project Appraisal</t>
  </si>
  <si>
    <t>Framework Call Off</t>
  </si>
  <si>
    <t>Adrian Green</t>
  </si>
  <si>
    <t>The Capital Project Appraisal procurement is still open with a probable August/September start date now. We will know more once we know what is happening in Government and whether the latest Growth Fund round proceeds.</t>
  </si>
  <si>
    <t>Crimson case management software</t>
  </si>
  <si>
    <t>NYCC/BES - Trading Standards and Planning Services</t>
  </si>
  <si>
    <t>postponed pending funding approval.</t>
  </si>
  <si>
    <t>Programme officer role for core strategies (Examination in Public)</t>
  </si>
  <si>
    <t>Rob Smith</t>
  </si>
  <si>
    <t>Currently in procurement, Best Value form submitted?</t>
  </si>
  <si>
    <t>£5,000 est</t>
  </si>
  <si>
    <t>Software Dialog Direct Ltd</t>
  </si>
  <si>
    <t>eConsults Phase 2 Annual Maintenance - DEF Software limited</t>
  </si>
  <si>
    <t>Michelle Bellwood</t>
  </si>
  <si>
    <r>
      <rPr>
        <b/>
        <sz val="11"/>
        <rFont val="Calibri"/>
        <family val="2"/>
        <scheme val="minor"/>
      </rPr>
      <t>Query with Michelle Bellwood</t>
    </r>
    <r>
      <rPr>
        <sz val="11"/>
        <rFont val="Calibri"/>
        <family val="2"/>
        <scheme val="minor"/>
      </rPr>
      <t>. Yet to be on boarded, invoice come to T&amp;C as a legacy of centralisation (for 607.75) - Joanne Brownless, Planning Technician contacted. Information received 11/01/17 - The whole system is called Master Gov. E consults is a small module of the overall system. The main system costs in the region of £16,000 pa. This is planings end to end planning application system. Planning are currently paying invoices 3 or 4 times a year and are paying for 1 year at a time. We contract for two further modules, Officer alert at £984pa and a highways module, looked after by Michelle Johnson, in highways costing £4045.90 pa. Joanne Brownless to send contract to MH.</t>
    </r>
  </si>
  <si>
    <t>12 month rolling</t>
  </si>
  <si>
    <t>Jon has run a a bid exercise went to 5 companies got 2 responses back the costs have significantly risen but we were aware this was likely to happen as the scope of work they need to do has increased from a PSN perspective. £8,500 but this covers 9 days compared to the previous 6 required to carry out the work.</t>
  </si>
  <si>
    <t>Cleaning and Janitorial</t>
  </si>
  <si>
    <t>Shaun Mancrief</t>
  </si>
  <si>
    <t>Chris Dale</t>
  </si>
  <si>
    <t>Benchmarking completed, actions with CD.</t>
  </si>
  <si>
    <t>Jo Dodgson</t>
  </si>
  <si>
    <t>Jo Dodgson sent information of WebEros bolt on that reception can use to view the register of electors only</t>
  </si>
  <si>
    <t>Ad Hoc Transport Services</t>
  </si>
  <si>
    <t>Consideration for DPS - SS to look at defining the process visually for IPT</t>
  </si>
  <si>
    <t xml:space="preserve">AVCO - AnyComms </t>
  </si>
  <si>
    <t xml:space="preserve">Stronger Communities - Community Based Universal and Targeted Physical Activity Services </t>
  </si>
  <si>
    <t xml:space="preserve">Tender return 10/08/2017. 3 submissions received. </t>
  </si>
  <si>
    <t>Collections management system (Calm)</t>
  </si>
  <si>
    <t>£2497.00 PA</t>
  </si>
  <si>
    <t>Rolling 12 months</t>
  </si>
  <si>
    <r>
      <rPr>
        <b/>
        <sz val="11"/>
        <rFont val="Calibri"/>
        <family val="2"/>
        <scheme val="minor"/>
      </rPr>
      <t xml:space="preserve">Chased Margaret Boustead for information 19/07/2017. </t>
    </r>
    <r>
      <rPr>
        <sz val="11"/>
        <rFont val="Calibri"/>
        <family val="2"/>
        <scheme val="minor"/>
      </rPr>
      <t>16/01/2017: Margaret Boustead - No contract in place. The System was purchased in 01/04/2004 and we have been paying an annumal fee for support, maintenance and updated on a rolling basis. Annual fee for April 2017 = £2479.19 excl VAT</t>
    </r>
  </si>
  <si>
    <t>Riello UPS Ltd</t>
  </si>
  <si>
    <t>Self service</t>
  </si>
  <si>
    <t>Mobile Telephony</t>
  </si>
  <si>
    <t xml:space="preserve">Tim informed most if not all NY councils on Daisy and will be picked up via LGR, no plans to review with that in mind. </t>
  </si>
  <si>
    <t>Contract</t>
  </si>
  <si>
    <t>Business Capital Grant Programme</t>
  </si>
  <si>
    <t>Invitation to Bid</t>
  </si>
  <si>
    <t>Tim Frenneaux</t>
  </si>
  <si>
    <t>Complete award to BE Group.</t>
  </si>
  <si>
    <t xml:space="preserve">Corporate Grants Solution </t>
  </si>
  <si>
    <t>Further Comp</t>
  </si>
  <si>
    <r>
      <rPr>
        <b/>
        <sz val="11"/>
        <rFont val="Calibri"/>
        <family val="2"/>
        <scheme val="minor"/>
      </rPr>
      <t xml:space="preserve">Emailed Kathleen Atkinson for an update. </t>
    </r>
    <r>
      <rPr>
        <sz val="11"/>
        <rFont val="Calibri"/>
        <family val="2"/>
        <scheme val="minor"/>
      </rPr>
      <t>Kathleen Atkinson is the project manager - 30/11/16 -</t>
    </r>
  </si>
  <si>
    <r>
      <t>5+2+</t>
    </r>
    <r>
      <rPr>
        <sz val="11"/>
        <color rgb="FFFF0000"/>
        <rFont val="Calibri"/>
        <family val="2"/>
        <scheme val="minor"/>
      </rPr>
      <t>1</t>
    </r>
  </si>
  <si>
    <t>Lynda Player</t>
  </si>
  <si>
    <t xml:space="preserve"> Gateway 4 passed contract signed by all parties, completed. </t>
  </si>
  <si>
    <t>email Nick about this project.</t>
  </si>
  <si>
    <t>Quest Archive Manager</t>
  </si>
  <si>
    <t>12 months rolling</t>
  </si>
  <si>
    <t>Gavin Booth</t>
  </si>
  <si>
    <t>Self Service</t>
  </si>
  <si>
    <t>Strategic decision on the purpose and longevity of Quest. Gavin completed BVF</t>
  </si>
  <si>
    <t>Cathryn Moore</t>
  </si>
  <si>
    <t>Contract terminates 31/5/2017.  The contract commenced 1/6/2013 for 2+2 year period (i.e. 31/5/2017).  No provision to extend further. YPO to procure a legal services framework.  Service covered by Reg 10, pragmatic way forward is to vary the existing contract to 31/5/2018. We will need to take a decision by no later than end of October 2017 on whether we will use the YPO framework or undertake our own procurement exercise (inc. Districts &amp; CoY) in readiness for a 1st June 2018 start date. YPO (Mel) has confirmed she is linking in directly with Barrie and Natalie on the further market engagement which they will be undertaking. Total COntract Value included new extension £1.75M</t>
  </si>
  <si>
    <t>2 x Juniper SSG550M (Corporate firewalls) - currently provided by NTS</t>
  </si>
  <si>
    <t xml:space="preserve">Gavin Booth </t>
  </si>
  <si>
    <t>Included within the Security portfolio</t>
  </si>
  <si>
    <t>2 x Juniper SSG20 (N3 Firewalls) - currently provided by NTS</t>
  </si>
  <si>
    <t>TEN (Risk Management)</t>
  </si>
  <si>
    <r>
      <rPr>
        <sz val="11"/>
        <color rgb="FFFF0000"/>
        <rFont val="Calibri"/>
        <family val="2"/>
        <scheme val="minor"/>
      </rPr>
      <t>24</t>
    </r>
    <r>
      <rPr>
        <sz val="11"/>
        <rFont val="Calibri"/>
        <family val="2"/>
        <scheme val="minor"/>
      </rPr>
      <t>+24+24</t>
    </r>
  </si>
  <si>
    <t xml:space="preserve">Awarded - 2 OTE available. </t>
  </si>
  <si>
    <t xml:space="preserve">Out Of Hours Service Centre Support Contract - Sopra Steria </t>
  </si>
  <si>
    <r>
      <t>24+</t>
    </r>
    <r>
      <rPr>
        <sz val="11"/>
        <color rgb="FFFF0000"/>
        <rFont val="Calibri"/>
        <family val="2"/>
        <scheme val="minor"/>
      </rPr>
      <t>12</t>
    </r>
    <r>
      <rPr>
        <sz val="11"/>
        <rFont val="Calibri"/>
        <family val="2"/>
        <scheme val="minor"/>
      </rPr>
      <t>+12+12</t>
    </r>
  </si>
  <si>
    <t>Mike Pickering</t>
  </si>
  <si>
    <t>Extension signed for a further year.</t>
  </si>
  <si>
    <t>Digital Signatures</t>
  </si>
  <si>
    <t xml:space="preserve">Webchat </t>
  </si>
  <si>
    <t>Conversation in May 2017 - in relation to this provision. Update email sent to CR 03/08/2017)</t>
  </si>
  <si>
    <t>Theory of Youth Work (DN281076)</t>
  </si>
  <si>
    <t>Open bid</t>
  </si>
  <si>
    <t>Gary Roberts</t>
  </si>
  <si>
    <t>Mark Tserkezie</t>
  </si>
  <si>
    <t>Meeting to be held with Gary Roberts, Matt Clothier and Mark Tserkezie on 09/06/17 to run through recent batch of training required. Bids returned on 27/06/17. Returned bids and scorecards emailed to Gary Roberts &amp; Tracy Harrison 29/06/17.  Slight delay as Gary on holiday and Tracy wants to wait until he returns</t>
  </si>
  <si>
    <t>Youth Work Skills V2 (inc groupwork) (DN281133)</t>
  </si>
  <si>
    <t>Equipment Adaptations and Telecare Competencies (DN281203)</t>
  </si>
  <si>
    <t>ITIL Foundation Certificate in IT Service Management Training (DN282138)</t>
  </si>
  <si>
    <t>ICT/Highways</t>
  </si>
  <si>
    <r>
      <t xml:space="preserve">Equisys </t>
    </r>
    <r>
      <rPr>
        <b/>
        <sz val="11"/>
        <rFont val="Calibri"/>
        <family val="2"/>
        <scheme val="minor"/>
      </rPr>
      <t>Timemaster</t>
    </r>
    <r>
      <rPr>
        <sz val="11"/>
        <rFont val="Calibri"/>
        <family val="2"/>
        <scheme val="minor"/>
      </rPr>
      <t xml:space="preserve"> Ltd: Highways Time Recording system annual maintenance (see notes)</t>
    </r>
  </si>
  <si>
    <t>£3000/annum</t>
  </si>
  <si>
    <r>
      <rPr>
        <b/>
        <sz val="11"/>
        <rFont val="Calibri"/>
        <family val="2"/>
        <scheme val="minor"/>
      </rPr>
      <t>Chased with Michelle and Chris.</t>
    </r>
    <r>
      <rPr>
        <sz val="11"/>
        <rFont val="Calibri"/>
        <family val="2"/>
        <scheme val="minor"/>
      </rPr>
      <t xml:space="preserve">Nick Leggott (21/07/16) </t>
    </r>
    <r>
      <rPr>
        <b/>
        <sz val="11"/>
        <rFont val="Calibri"/>
        <family val="2"/>
        <scheme val="minor"/>
      </rPr>
      <t xml:space="preserve">Extended with BVF for further 12 months: </t>
    </r>
    <r>
      <rPr>
        <sz val="11"/>
        <rFont val="Calibri"/>
        <family val="2"/>
        <scheme val="minor"/>
      </rPr>
      <t xml:space="preserve">We have had this system for a number of years. It is used in BES for time recording purposes on Highways projects etc.
There was a plan to scrap this in favour of Project Vision which would have been technically free, however this option became cost prohibitive as when we re-aligned the contract (Matthew Hoyle) in March this year to ensure we were compliant. (i.e. Had a contract.) Cora removed the ‘enterprise’ licence capability and the cost of using PV for the Timemaster users was in excess of £7000, so more than double the cost. 
Mike Sinnott has been liaising with Allan McVeigh/Kirstine Rudd on this item as part of project 1014 – Solution for managing Highways Capital Programme, which incidentally is being cancelled as Cora haven’t delivered a solution that is fit for purpose. Kevin Brown has asked for a new project to be raised which I am raising and will involve Business Change &amp; Solutions to look at alternative solutions.
As part of the Project Management system re-procurement project that I believe Chris Bell is going to be managing, we need to include this as a requirement so that we can cease using the Timemaster system when this renewal ends 31/07/17.
</t>
    </r>
  </si>
  <si>
    <t>Recruitment Admin System - Currently WCN</t>
  </si>
  <si>
    <t>Existing Framework</t>
  </si>
  <si>
    <t>Mairi Reed/Alison Ryde</t>
  </si>
  <si>
    <t>Kevin Draisey</t>
  </si>
  <si>
    <t>This project has been created in order to replace the current Recruitment Admin System which is WCN. Project Managed by Mairi Reed.  Engaged with Service Area. KD attending supplier discovery days.</t>
  </si>
  <si>
    <t>Security portfolio partner - including Next Gen Firewall, McAfee Anti virus etc. Phase 1</t>
  </si>
  <si>
    <t>Firewall phase 1 complete - GW1&amp;3 signed off - Andy Jarvis preparing PO for Softcat.</t>
  </si>
  <si>
    <t xml:space="preserve">ICT </t>
  </si>
  <si>
    <t>AEM (centrastage remote support system)</t>
  </si>
  <si>
    <t>Keren Wild / Tony Lyons</t>
  </si>
  <si>
    <t>Best Value form completed.</t>
  </si>
  <si>
    <t xml:space="preserve">E Governance Software to enable the management of the generation and publication of agendas to be handled entirely electronically Weblabs - Democratic Services </t>
  </si>
  <si>
    <r>
      <t>40+</t>
    </r>
    <r>
      <rPr>
        <b/>
        <sz val="11"/>
        <color rgb="FFFF0000"/>
        <rFont val="Calibri"/>
        <family val="2"/>
        <scheme val="minor"/>
      </rPr>
      <t>24</t>
    </r>
    <r>
      <rPr>
        <sz val="11"/>
        <rFont val="Calibri"/>
        <family val="2"/>
        <scheme val="minor"/>
      </rPr>
      <t>+24</t>
    </r>
  </si>
  <si>
    <t>Josie O'Dowd / Karen Wilson</t>
  </si>
  <si>
    <t>Extension taken to Aug 2019. Paperwork complete</t>
  </si>
  <si>
    <t xml:space="preserve">Mail marshal / Trustwave - and email gateway </t>
  </si>
  <si>
    <t>Currently provide by NTS which is Capita which is a reseller -  There will not be time to complete the project therefore a short term extension has been requested. 'Trustwave secure email gateway' for licencing and support. A 1 year contract has been requested in order to allow a full security portfolio review. July 2016 update - MH.</t>
  </si>
  <si>
    <t xml:space="preserve">Websense / Rathium - corporate and libraries </t>
  </si>
  <si>
    <r>
      <t xml:space="preserve">Update received from GB 27/06/16 - there will not be time to complete the project therefore a short term extension has been requested. 06/07/17 12 month extension has been requested to allow the security strategy has been requested. Bytes - other solutions, websense must be competitive, Quoting against other products. 2 products at least per reseller. </t>
    </r>
    <r>
      <rPr>
        <sz val="11"/>
        <color rgb="FFFF0000"/>
        <rFont val="Calibri"/>
        <family val="2"/>
        <scheme val="minor"/>
      </rPr>
      <t>Do this ASAP.</t>
    </r>
  </si>
  <si>
    <t>Ali Wildash</t>
  </si>
  <si>
    <t>Looking to extend 5 years, potential savings as I have managed to wipe out RPI, also reviewing exit strategy as current contract does not have one.</t>
  </si>
  <si>
    <t>36 + 24</t>
  </si>
  <si>
    <r>
      <t xml:space="preserve">NRSWA StreetWorks Supervisors Card Training - Full Qualification </t>
    </r>
    <r>
      <rPr>
        <b/>
        <u/>
        <sz val="11"/>
        <rFont val="Calibri"/>
        <family val="2"/>
        <scheme val="minor"/>
      </rPr>
      <t>and</t>
    </r>
    <r>
      <rPr>
        <sz val="11"/>
        <rFont val="Calibri"/>
        <family val="2"/>
        <scheme val="minor"/>
      </rPr>
      <t xml:space="preserve"> Refresher</t>
    </r>
  </si>
  <si>
    <t>Have merged the two commissioning packs into one single ITB document as same suppliers will be quoting for both the full qualification and the refresher training</t>
  </si>
  <si>
    <t>Apprenticeship - Coventry University Scarborough</t>
  </si>
  <si>
    <t>Collaboration Agreement</t>
  </si>
  <si>
    <t>Jamie Sims / Louise Sandall</t>
  </si>
  <si>
    <t>Maria Hill and service area completed partnership agreement no further action from procurement.</t>
  </si>
  <si>
    <t>Evaluation of LEADER Programmes</t>
  </si>
  <si>
    <t>7</t>
  </si>
  <si>
    <t>Helen Patchett</t>
  </si>
  <si>
    <t xml:space="preserve">Entry needs to be put on the contracts register then complete. 12.12.2017 - completed and on the register. </t>
  </si>
  <si>
    <t>Apprenticeship - IT, Software, Web &amp; Telecoms Professionals</t>
  </si>
  <si>
    <t>Louise Sandall</t>
  </si>
  <si>
    <t xml:space="preserve">No bids received so agreed that best value form would be used </t>
  </si>
  <si>
    <t>SSentif Analytics</t>
  </si>
  <si>
    <t>Award direct to Ssentif. John Kelly completing BVF.</t>
  </si>
  <si>
    <t>Spot purchase</t>
  </si>
  <si>
    <t>HP 430's</t>
  </si>
  <si>
    <t>to purchase 200 units of HP for the final role out of NWOW - framework identified ts and cs sent to legal for review (31/07/2017) direct award to HP available, Sent further chase to legal to answer queries and raised issues with framework provider (nhs Link2 it hardware services -  11, 13 and 21/08/2017. Chaser email sent to framework provider 05/09/2017. Telephone with framework provider 06092017 advising will be raising an order using the framework. Email sent to legal 06/09/2017 confirming will place the order - call off order form needs completing. Direct purchase order to be raised by service area all info passed to them.</t>
  </si>
  <si>
    <t>Survey System / Consultation  - SNAP is current system</t>
  </si>
  <si>
    <t>Best value form</t>
  </si>
  <si>
    <t>Stephen Greiff</t>
  </si>
  <si>
    <t>BVF forwarded 11/11/17. Previous years via BVF £8394 (incl VAT). Contract end 30/09/18.</t>
  </si>
  <si>
    <t>Helen Edwards</t>
  </si>
  <si>
    <r>
      <rPr>
        <b/>
        <sz val="11"/>
        <rFont val="Calibri"/>
        <family val="2"/>
        <scheme val="minor"/>
      </rPr>
      <t>Chased Helen Edwards.</t>
    </r>
    <r>
      <rPr>
        <sz val="11"/>
        <rFont val="Calibri"/>
        <family val="2"/>
        <scheme val="minor"/>
      </rPr>
      <t xml:space="preserve">Best Value form completed by Helen Edwards. Subscription renewed 01/10/16 to 30/09/17 at £6,995.00 + VAT.
This relates to an annual licence renewal. </t>
    </r>
  </si>
  <si>
    <t>Pensions Admin Support Services</t>
  </si>
  <si>
    <t>GW1/3 with SS to review before PAB. Contract drafted and waiting on answer from insurance about cover levels as requested by legal</t>
  </si>
  <si>
    <t>ICT/CORP</t>
  </si>
  <si>
    <r>
      <t xml:space="preserve">best value </t>
    </r>
    <r>
      <rPr>
        <b/>
        <sz val="11"/>
        <rFont val="Calibri"/>
        <family val="2"/>
        <scheme val="minor"/>
      </rPr>
      <t>completed</t>
    </r>
  </si>
  <si>
    <t>Case Handling System for Compliments, Comments and Complaints - current system by icasework, system name 'Useful Feedback'</t>
  </si>
  <si>
    <r>
      <t>60+12+12+</t>
    </r>
    <r>
      <rPr>
        <b/>
        <sz val="11"/>
        <color rgb="FFFF0000"/>
        <rFont val="Calibri"/>
        <family val="2"/>
        <scheme val="minor"/>
      </rPr>
      <t>12</t>
    </r>
    <r>
      <rPr>
        <sz val="11"/>
        <rFont val="Calibri"/>
        <family val="2"/>
        <scheme val="minor"/>
      </rPr>
      <t xml:space="preserve">+12 +12 </t>
    </r>
  </si>
  <si>
    <t>Alison Schofield</t>
  </si>
  <si>
    <t>Awaiting RL sign off</t>
  </si>
  <si>
    <t>Unix Hardware Maintenance</t>
  </si>
  <si>
    <t>PROJECT COMPLETED - NEW ROW NEEDS ADDING BELOW
PO raised by Steve for 12-month renewal of the annual maintenance and support covering 21/10/17 to 20/10/18 for £11,143.38.  Unsure of the original contract period or whole life costs; however it appears that a payment was made for the previous 12 months at £10,818.81.  Unable to obtain further financial breakdown for this service, due to lack of information.  Steve has confirmed via email that this will be needed as from 21/10/18.  (10/05/18 GP)</t>
  </si>
  <si>
    <t>Ashridge On line learning</t>
  </si>
  <si>
    <t>Tracy Harrison</t>
  </si>
  <si>
    <t xml:space="preserve">Best Value Form will be completed for 01/11/2017 to 31/10/2018. Best value form completed by Roger Smith for contract covering the period 1/11/2016 - 31/10/2017. </t>
  </si>
  <si>
    <t>24 + 12 + 12</t>
  </si>
  <si>
    <t>Completed and approved.</t>
  </si>
  <si>
    <t>Photography</t>
  </si>
  <si>
    <t>Videography was not awarded on this occasion - changed value to 80K - reminder sent on signing hub today 08.01.2018. R Jemison still needs to sign the contract. 11.01.2018</t>
  </si>
  <si>
    <t>Ticket Machines Provision</t>
  </si>
  <si>
    <t>Mark met with Andrew Sharpin 11/07/2017 and Andrew advised he would create best value form to cover this requirement</t>
  </si>
  <si>
    <t>Planning Consultant</t>
  </si>
  <si>
    <t>Framework Direct Award</t>
  </si>
  <si>
    <t>Andy Robson</t>
  </si>
  <si>
    <t xml:space="preserve">26.10.2017 - Andy Robson informed me that he is just about to sign a contract with Bloom through the NEPRO framework. </t>
  </si>
  <si>
    <t>Local Government Chronicle Subscription</t>
  </si>
  <si>
    <t>Infrastructure Asset Management Systems (Symology)</t>
  </si>
  <si>
    <t>David Hunt</t>
  </si>
  <si>
    <r>
      <rPr>
        <b/>
        <sz val="11"/>
        <rFont val="Calibri"/>
        <family val="2"/>
        <scheme val="minor"/>
      </rPr>
      <t xml:space="preserve">Chased Nick Leggott. </t>
    </r>
    <r>
      <rPr>
        <sz val="11"/>
        <rFont val="Calibri"/>
        <family val="2"/>
        <scheme val="minor"/>
      </rPr>
      <t>20/01/2017: David Hunt - Symology Project Board will be discussing re-procurment options (Currently G-Cloud)</t>
    </r>
  </si>
  <si>
    <t>Voluntary benefits and salary sacrifice including Childcare vouchers</t>
  </si>
  <si>
    <t>Collaborate NYCC Lead</t>
  </si>
  <si>
    <t xml:space="preserve"> This is now completed and on the register. 11.01.18 JK</t>
  </si>
  <si>
    <t>Environmental</t>
  </si>
  <si>
    <t xml:space="preserve">John Metcalfe </t>
  </si>
  <si>
    <t>Contract extension completed.</t>
  </si>
  <si>
    <t>Telematics</t>
  </si>
  <si>
    <t>Contract now merged with Trackers/telematics</t>
  </si>
  <si>
    <t>LGC EMAPs Subscription</t>
  </si>
  <si>
    <t>awarded and signed 01-12-2017</t>
  </si>
  <si>
    <t xml:space="preserve">The supply and delivery of office supplies, office paper, and IT consumables (Banner is current) </t>
  </si>
  <si>
    <t>Graham Millichap</t>
  </si>
  <si>
    <t>Jayne Kempen/Katie Longstaff</t>
  </si>
  <si>
    <t xml:space="preserve"> contract date still to be determined awaiting on confirmation from Lyreco 11.01.2018. JK</t>
  </si>
  <si>
    <t>Ritch Baine / Jonathan (David) Miller/CST</t>
  </si>
  <si>
    <t>Information provided from Ritch.  Software is licensed annually and was renewed directly with IBM via PO at £2,806.00 for period 01/01/18 - 31/12/18.  Ritch was unsure of the original contract period or whole life costs as it pre-dates him being in post.  Previous annual license covering the period 01/01/17 - 31/12/17 was £2,652.00.  Have asked Ritch for confirmation that this will be needed as from 01/01/19  (09/04/18 GP)</t>
  </si>
  <si>
    <t>Oracle &amp; SQL Server Support.</t>
  </si>
  <si>
    <t>Currently with Xynomix Ltd.  Service will self service bid process.
Voicemail left with Steve to check if project has been completed - paperwork etc. and chased up via email.  Still awaiting information from Steve.  Chased up again  (09/04/18 GP)</t>
  </si>
  <si>
    <t xml:space="preserve">Procurement Management Software - YORtender </t>
  </si>
  <si>
    <t>Other</t>
  </si>
  <si>
    <t>Regional decision to be made.</t>
  </si>
  <si>
    <t>Payments software (Potentially KORVID option)</t>
  </si>
  <si>
    <t>Mike Shepherd / Nicola Young</t>
  </si>
  <si>
    <r>
      <t>Sourced new system via g-cloud Corvid , g-cloud document signed off by both sides , PO issued by MB , Customer benefit record sent to CCS -</t>
    </r>
    <r>
      <rPr>
        <b/>
        <sz val="11"/>
        <rFont val="Calibri"/>
        <family val="2"/>
        <scheme val="minor"/>
      </rPr>
      <t xml:space="preserve"> Completed</t>
    </r>
  </si>
  <si>
    <t>Gandlake (Print Unit)</t>
  </si>
  <si>
    <t>120+12</t>
  </si>
  <si>
    <t>21/6/18</t>
  </si>
  <si>
    <r>
      <t xml:space="preserve">15/3 - refused to sign extension document SS aware - license to continue with no extension doc - enforce notice period dates on nick leggot &amp; john metcalfe- </t>
    </r>
    <r>
      <rPr>
        <b/>
        <sz val="11"/>
        <rFont val="Calibri"/>
        <family val="2"/>
        <scheme val="minor"/>
      </rPr>
      <t xml:space="preserve">complete </t>
    </r>
  </si>
  <si>
    <t>Library Shelving &amp; Furniture 2 sites, Malton &amp; Filey</t>
  </si>
  <si>
    <t>10504 core switch - support and maintenance package</t>
  </si>
  <si>
    <t>Has been purchased.</t>
  </si>
  <si>
    <t xml:space="preserve">Fuel Cards </t>
  </si>
  <si>
    <t>12+14</t>
  </si>
  <si>
    <t>Now complete and logged on YorTender. Line can now be removed.</t>
  </si>
  <si>
    <t>PROJECT NOW COMPLETE AND READY FOR NEW LINE TO BE CREATED</t>
  </si>
  <si>
    <t>Website Hosting (Selby, Corporate, SmartSolutions) Drupal</t>
  </si>
  <si>
    <t>Final extension paperwork to be completed. Previous contract with Code-Enigma - £42,480 total. Final extension issued.</t>
  </si>
  <si>
    <t xml:space="preserve">Mercato Solutions - Knowledge Bus </t>
  </si>
  <si>
    <r>
      <rPr>
        <b/>
        <sz val="11"/>
        <rFont val="Calibri"/>
        <family val="2"/>
        <scheme val="minor"/>
      </rPr>
      <t xml:space="preserve">Check with Kevin as issues with this, </t>
    </r>
    <r>
      <rPr>
        <sz val="11"/>
        <rFont val="Calibri"/>
        <family val="2"/>
        <scheme val="minor"/>
      </rPr>
      <t xml:space="preserve">Two Year Enterprise Multi-user Licence (up to 10 users) at a discounted cost of £16,100. Inclusive of all three Bolt-On Modules (‘List Upload’, ‘Export Spend Analysis’, and ‘Framework Pricing’)(The licence period will not start until we have completed training with relevant users in the New Year) 04/07 CD To send over termination email sent previously not recieved a response from supplier will re-issue with termination letter and seek confirmation 
CD to send over confirmation of termination - CD provided confirmation from mercato acknowledging the notice period - copies saved in folder -CD Confirmed formal notice was sent to the service area - </t>
    </r>
    <r>
      <rPr>
        <b/>
        <sz val="11"/>
        <rFont val="Calibri"/>
        <family val="2"/>
        <scheme val="minor"/>
      </rPr>
      <t xml:space="preserve">Complete </t>
    </r>
  </si>
  <si>
    <t>Dashcams (supply and installation/de-installation)</t>
  </si>
  <si>
    <t xml:space="preserve">Contract signed by both parties </t>
  </si>
  <si>
    <t xml:space="preserve">Swivel 2 Factor Authentication </t>
  </si>
  <si>
    <t>PROJECT COMPLETED - NEW ROW NEEDS ADDING BELOW
Supplied by Axial.
PO raised by Gavin for 12-month renewal of the annual maintenance and licencing for the period 26/02/18 - 25/02/19 at £4,650.00.  Unsure of the original contract period or whole life costs; however it appears to have been in place since at least 26/02/15.  Unable to obtain further financial breakdown for this service, due to lack of information.  Gavin has confirmed via email that this will be needed as from 26/02/19.  (10/05/18 GP)</t>
  </si>
  <si>
    <t>Robin Mair/CST</t>
  </si>
  <si>
    <t>Contract signed by all parties 28/02/18</t>
  </si>
  <si>
    <t>Initial period award.</t>
  </si>
  <si>
    <t>Subscription to legal reference material:
- Family law</t>
  </si>
  <si>
    <t>Pauline Smurthwaite</t>
  </si>
  <si>
    <t>SG 09/04/2018; BVF to be utilised. Subscriptions are not available from other suppliers and are industry standard.</t>
  </si>
  <si>
    <t>Liquid Logic - case management system for Adults and Children's social care
- EHM (formally Ecaf)
- LLA/LAS (contrOCC) Adults
- ConrtOCC Children's</t>
  </si>
  <si>
    <t>CD drafting 1 GW4 and 2xextension documents - w.e. 1st December.</t>
  </si>
  <si>
    <t xml:space="preserve">Ancillary Hardware Items - Server Team </t>
  </si>
  <si>
    <t>The Ancillary Hardware items is a £50k annual kitty for Hardware renewals. It’s not a contract.</t>
  </si>
  <si>
    <t>Local Bus Service - Scarborough Area - Home to School Transport Review - Hambleton &amp; Scarborough Area</t>
  </si>
  <si>
    <t>PROJECT COMPLETED
Award notice submitted directly on OJEU.  Contracts issued by IPT.  (08/05/18 GP)</t>
  </si>
  <si>
    <t>Project now complete and new line can be created.</t>
  </si>
  <si>
    <t>Fresh Meat and Frozen Goods [Veg/Meat/Fruit/Fish/Bread/Desserts]</t>
  </si>
  <si>
    <t>Groceries and Chilled [exc. Milk]</t>
  </si>
  <si>
    <t>MT and Catering meeting with Jane and Darren from YPO 18/01/18 to agree everything moving forwards for next 2 year deal.</t>
  </si>
  <si>
    <t xml:space="preserve">Careworks </t>
  </si>
  <si>
    <t>Lorena Phillips / Chris Bell</t>
  </si>
  <si>
    <t>Order confirmed - 1 year extension</t>
  </si>
  <si>
    <t>Client Caseload Management Information System (CCIS)  - Aspire</t>
  </si>
  <si>
    <t>Completed - 1 year contract through the KCS framework</t>
  </si>
  <si>
    <t>Paritor Music Service System</t>
  </si>
  <si>
    <t>MT emailed Lorena Phillips 23/11/17 to advise to follow best value form process for a further 2 years.  T&amp;C already involved</t>
  </si>
  <si>
    <t>Music service system</t>
  </si>
  <si>
    <r>
      <t>14+12+12+</t>
    </r>
    <r>
      <rPr>
        <sz val="11"/>
        <color rgb="FFFF0000"/>
        <rFont val="Calibri"/>
        <family val="2"/>
        <scheme val="minor"/>
      </rPr>
      <t>12</t>
    </r>
  </si>
  <si>
    <t>India Landers</t>
  </si>
  <si>
    <t>20 Jan 14 to 31 Mar 15 = initial period
01 Apr 15 to 31 Mar 16 = OTE 1 – done
01 Apr 16 to 31 Mar 17 = OTE 2 - done .
MH to flag to T&amp;C that they need to start options review now (July 2016).
01 Apr 17 to 31 Mar 18 = OTE 3 - done
Since Contract Management meeting service has improved - MH offered further support if and when required. . Meeting with T&amp;C to take place 30/10/2017</t>
  </si>
  <si>
    <t>Now awarded</t>
  </si>
  <si>
    <t>ICT/CYPS</t>
  </si>
  <si>
    <r>
      <t>36+12+</t>
    </r>
    <r>
      <rPr>
        <sz val="11"/>
        <color rgb="FFFF0000"/>
        <rFont val="Calibri"/>
        <family val="2"/>
        <scheme val="minor"/>
      </rPr>
      <t>12</t>
    </r>
  </si>
  <si>
    <t xml:space="preserve">Janet Bates/Nick Horn </t>
  </si>
  <si>
    <r>
      <rPr>
        <b/>
        <sz val="11"/>
        <rFont val="Calibri"/>
        <family val="2"/>
      </rPr>
      <t xml:space="preserve">Completed - </t>
    </r>
    <r>
      <rPr>
        <sz val="11"/>
        <rFont val="Calibri"/>
        <family val="2"/>
      </rPr>
      <t xml:space="preserve">Signed off by Judith Kirk , Form sent to CCS </t>
    </r>
  </si>
  <si>
    <t>ISAM Provision (Concessionary Care function for ticket machines)</t>
  </si>
  <si>
    <t xml:space="preserve">Banking Services - Currently Barclays </t>
  </si>
  <si>
    <r>
      <t>60+</t>
    </r>
    <r>
      <rPr>
        <sz val="11"/>
        <color rgb="FFFF0000"/>
        <rFont val="Calibri"/>
        <family val="2"/>
        <scheme val="minor"/>
      </rPr>
      <t>24</t>
    </r>
  </si>
  <si>
    <t>+</t>
  </si>
  <si>
    <t>Michelle Oates</t>
  </si>
  <si>
    <r>
      <t xml:space="preserve">Document signed off by legal - copy sent back to barcalys scan saved in folder - </t>
    </r>
    <r>
      <rPr>
        <b/>
        <sz val="11"/>
        <rFont val="Calibri"/>
        <family val="2"/>
        <scheme val="minor"/>
      </rPr>
      <t>Completed</t>
    </r>
  </si>
  <si>
    <t>Financial/In</t>
  </si>
  <si>
    <t>SG 09/04/2018; BVF completed. 3 year agreement or upto value of £25k.</t>
  </si>
  <si>
    <t>Adult Learning System - Aqua Extension</t>
  </si>
  <si>
    <t>Lorena Phillips/Emily A-F</t>
  </si>
  <si>
    <t xml:space="preserve">11/1/18 online statement received details sent over to lorena - Lorena has confirmed to SS this is complete </t>
  </si>
  <si>
    <t>Tax and VAT Support</t>
  </si>
  <si>
    <r>
      <rPr>
        <b/>
        <sz val="11"/>
        <rFont val="Calibri"/>
        <family val="2"/>
        <scheme val="minor"/>
      </rPr>
      <t xml:space="preserve"> Complete </t>
    </r>
    <r>
      <rPr>
        <sz val="11"/>
        <rFont val="Calibri"/>
        <family val="2"/>
        <scheme val="minor"/>
      </rPr>
      <t>PSTAX awarded -Quote process</t>
    </r>
  </si>
  <si>
    <t>Purchase and/or Contract Hire of Vehicles (Cars and Vans)</t>
  </si>
  <si>
    <t>Now complete, line can be set to complete.  New line added as requested by Stacey</t>
  </si>
  <si>
    <t>ICT/BES</t>
  </si>
  <si>
    <t>Public rights of way system - (Currently Exegesis)</t>
  </si>
  <si>
    <t>Nick Leggott/Karen Lane</t>
  </si>
  <si>
    <t xml:space="preserve">Completed </t>
  </si>
  <si>
    <t>Project Management Tool (Currently Project Vision)</t>
  </si>
  <si>
    <r>
      <rPr>
        <sz val="11"/>
        <color rgb="FFFF0000"/>
        <rFont val="Calibri"/>
        <family val="2"/>
        <scheme val="minor"/>
      </rPr>
      <t>24</t>
    </r>
    <r>
      <rPr>
        <sz val="11"/>
        <rFont val="Calibri"/>
        <family val="2"/>
        <scheme val="minor"/>
      </rPr>
      <t>+12+12</t>
    </r>
  </si>
  <si>
    <t>Gemma Dickinson</t>
  </si>
  <si>
    <t>Stacey / India</t>
  </si>
  <si>
    <t>Contract signed by both parties 09/03/2018</t>
  </si>
  <si>
    <t xml:space="preserve">E Books - Current Provider is Overdrive </t>
  </si>
  <si>
    <t>Suppliers of required materials are Sole Supplier (ie only one company has the rights to publish and sell). As such this project is exempt from the Contract Procedure Rules under 15.1 (e).</t>
  </si>
  <si>
    <t>Civica APP - Flare</t>
  </si>
  <si>
    <t>Nick Leggott/Ritch Baine</t>
  </si>
  <si>
    <r>
      <rPr>
        <b/>
        <sz val="11"/>
        <rFont val="Calibri"/>
        <family val="2"/>
        <scheme val="minor"/>
      </rPr>
      <t xml:space="preserve">Queried with Ritch and Hans 19/07/2017. Contract has been in place since 2000? Paper completed by Hans 2015 on the options - this needs revisiting. </t>
    </r>
    <r>
      <rPr>
        <sz val="11"/>
        <rFont val="Calibri"/>
        <family val="2"/>
        <scheme val="minor"/>
      </rPr>
      <t>Need to confirm the start date, believe this is purchased through G-cloud on a 1+1 basis. Some work carried out by Hans in 2015. Possible negotiation point on a longer term agreement. Assigned 15/02/18</t>
    </r>
  </si>
  <si>
    <t xml:space="preserve">HP server maintenance </t>
  </si>
  <si>
    <r>
      <rPr>
        <b/>
        <sz val="11"/>
        <color rgb="FF00B050"/>
        <rFont val="Calibri"/>
        <family val="2"/>
        <scheme val="minor"/>
      </rPr>
      <t>PLEASE MOVE TO COMPLETED</t>
    </r>
    <r>
      <rPr>
        <sz val="11"/>
        <rFont val="Calibri"/>
        <family val="2"/>
        <scheme val="minor"/>
      </rPr>
      <t>: BVF now submitted and logged.</t>
    </r>
  </si>
  <si>
    <t>HBSMR System (currently Exegesis)</t>
  </si>
  <si>
    <r>
      <t xml:space="preserve">Extension in place via best value form &amp; short form contract - </t>
    </r>
    <r>
      <rPr>
        <b/>
        <sz val="11"/>
        <rFont val="Calibri"/>
        <family val="2"/>
      </rPr>
      <t xml:space="preserve">completed </t>
    </r>
  </si>
  <si>
    <t xml:space="preserve">Large Print &amp; Audio Books Servicing and Supply  </t>
  </si>
  <si>
    <t xml:space="preserve">Red Hat licence support </t>
  </si>
  <si>
    <t>Not required. Decision made to use a free service.</t>
  </si>
  <si>
    <t>IMC Network Management - HP Via Switchshop</t>
  </si>
  <si>
    <t>19.02.2018 Best Value Form sent to Gavin for completion</t>
  </si>
  <si>
    <t>Information provided from Gavin.  PO not yet raised for 2018/19 but Gavin advised he would usually order a 12-month renewal of the maintenance and licencing with Quest at £3,819.90 per annum.  Gavin is unsure of the original contract period or whole life costs.  Unable to obtain further financial breakdown for this; however, the contract appears to have been in place since at least 15/04/13.  Have asked Gavin for confirmation that this will be needed as from 15/04/19  (09/04/18 GP)</t>
  </si>
  <si>
    <t>EMLawshare Framework</t>
  </si>
  <si>
    <r>
      <t xml:space="preserve">MT19/04/2018 Line can be removed as Legal will call off directly from EM Lawshare and have a review of position in 24 months. </t>
    </r>
    <r>
      <rPr>
        <sz val="11"/>
        <color rgb="FFFF0000"/>
        <rFont val="Calibri"/>
        <family val="2"/>
        <scheme val="minor"/>
      </rPr>
      <t>JEN WILL YOU CREATE NEW LINE ON FPP?</t>
    </r>
  </si>
  <si>
    <t>Affinitext Complex Contract Management (WCS)</t>
  </si>
  <si>
    <t>G-Cloud</t>
  </si>
  <si>
    <t>Suzanne Williamson</t>
  </si>
  <si>
    <t>Proceeding with 2 year G-Cloud deal.  Date in diary for March to sort out paperwork with Affintext.  07/09/17 - t&amp;cs requested to forward on for legal review</t>
  </si>
  <si>
    <t>Silas to be involved?</t>
  </si>
  <si>
    <t>Budget planning tool for schools (currently Orovia)</t>
  </si>
  <si>
    <t>Lynda Player/CST soon</t>
  </si>
  <si>
    <t xml:space="preserve">Completed  </t>
  </si>
  <si>
    <t>Telecoms</t>
  </si>
  <si>
    <t>Feasibility of improving the mobile network in North Yorkshire.</t>
  </si>
  <si>
    <t>Waiver Signed off</t>
  </si>
  <si>
    <t>28/06/18</t>
  </si>
  <si>
    <r>
      <rPr>
        <sz val="11"/>
        <color rgb="FFFF0000"/>
        <rFont val="Calibri"/>
        <family val="2"/>
        <scheme val="minor"/>
      </rPr>
      <t>36</t>
    </r>
    <r>
      <rPr>
        <sz val="11"/>
        <rFont val="Calibri"/>
        <family val="2"/>
        <scheme val="minor"/>
      </rPr>
      <t>+1+1+1+1+1+1+1</t>
    </r>
  </si>
  <si>
    <t>Accelerated Restricted Procedure</t>
  </si>
  <si>
    <t>Project now complete.  YorTender fully populated. LINE CAN BE REMOVED PLEASE</t>
  </si>
  <si>
    <t>Lone Worker Solution</t>
  </si>
  <si>
    <t>Stuart Langston / Chris Bell</t>
  </si>
  <si>
    <t>Graham Pearey/Katie Longstaff</t>
  </si>
  <si>
    <t>PROJECT COMPLETED
Direct award from Procurement for Housing framework.  
Contract signed.  Usage will be analysed during contract and Management Board will make decision on need going forwards.  (GP 16/05/18)</t>
  </si>
  <si>
    <t>DN548291</t>
  </si>
  <si>
    <t>Director Economic Development, Business and Partnerships</t>
  </si>
  <si>
    <t>Off Street Parking Enforcement</t>
  </si>
  <si>
    <t>2 years</t>
  </si>
  <si>
    <t>S101 1972 LGA</t>
  </si>
  <si>
    <t>Amy informed she is taking the 2 year extension and Glen was dealing with SBC legal and SLA</t>
  </si>
  <si>
    <t>Financial Wellbeing Service</t>
  </si>
  <si>
    <t>Nil</t>
  </si>
  <si>
    <t>Castlerock network management - currently provided by Eurotek Network Solutions Ltd.</t>
  </si>
  <si>
    <t>Annual maintenance contract.
Best Value process utilised. 
Annual cost quoted at approx. £2000.</t>
  </si>
  <si>
    <t>Supply of Library Materials</t>
  </si>
  <si>
    <t>3+1</t>
  </si>
  <si>
    <t>GW4 approved 140218. AD to pull together extension doc.  got a contact from CM for star procurement contract management - need to discuss how they want notifying of the extension either extension doc/letter/email ? - emailed awaiting contact name 19/2 - chased email to providers for confirmation of notification 15/3 - providers confirmed email notificiation sufficient - completed and saved in folder for audit purposes</t>
  </si>
  <si>
    <t>Approved Provider List</t>
  </si>
  <si>
    <r>
      <rPr>
        <b/>
        <sz val="11"/>
        <color rgb="FF00B050"/>
        <rFont val="Calibri"/>
        <family val="2"/>
      </rPr>
      <t>PLEASE MOVE TO COMPLETED</t>
    </r>
    <r>
      <rPr>
        <sz val="11"/>
        <rFont val="Calibri"/>
        <family val="2"/>
      </rPr>
      <t>: All closed down on YorTender.</t>
    </r>
  </si>
  <si>
    <t>Best value form received 09/03/2018</t>
  </si>
  <si>
    <t>Cash Collection Service</t>
  </si>
  <si>
    <t>22/06/18</t>
  </si>
  <si>
    <t>LINE NOW COMPLETE: Best Value Form now submitted.</t>
  </si>
  <si>
    <r>
      <t xml:space="preserve">Invoice date - 06/06/2018 Cost - £4688.33. </t>
    </r>
    <r>
      <rPr>
        <b/>
        <sz val="11"/>
        <color rgb="FFFF0000"/>
        <rFont val="Calibri"/>
        <family val="2"/>
      </rPr>
      <t xml:space="preserve">This is all complete now. </t>
    </r>
  </si>
  <si>
    <t>AutoCad Licences</t>
  </si>
  <si>
    <t>John Putsey (BES) / Nick Leggott (T&amp;C)</t>
  </si>
  <si>
    <t>PROJECT COMPLETED - NEW LINE TO BE CREATED
Purchased through Keysoft Solutions for AutoCad One (24 licences) and AEC Collection (2 licences).  PO raised by service area and Best Value Form.
Will be looking to re-procure for longer period at end of current contract; however, strategic review of all CAD-related products is required as NYCC have other AutoCad products that are not on this agreement, e.g. in  Property Services.  Keysoft also provide additional 'bolt-ons' to AutoCad which will need to be factored in.</t>
  </si>
  <si>
    <t>Direct Quote</t>
  </si>
  <si>
    <t>Kevin Draisey / Graham Millichap</t>
  </si>
  <si>
    <r>
      <t xml:space="preserve">Contract uploaded to SigningHub and signed off by Supplier and Justine on 25/06/18 </t>
    </r>
    <r>
      <rPr>
        <b/>
        <sz val="11"/>
        <color rgb="FFFF0000"/>
        <rFont val="Calibri"/>
        <family val="2"/>
      </rPr>
      <t>This is all complete now.</t>
    </r>
    <r>
      <rPr>
        <sz val="11"/>
        <rFont val="Calibri"/>
        <family val="2"/>
      </rPr>
      <t xml:space="preserve"> </t>
    </r>
  </si>
  <si>
    <t>Victoria Forms Software License Agreement</t>
  </si>
  <si>
    <t>Tim informed upgrade being planned currently, likely to be undertaken Sept/Oct 2022, no changes planned or possible on that basis.</t>
  </si>
  <si>
    <t>Skype for Business</t>
  </si>
  <si>
    <t>Gavin Booth /Nick Leggott</t>
  </si>
  <si>
    <t>Best Value process utilised. 
Annual cost quoted at approx. £7000.</t>
  </si>
  <si>
    <t>Jo Wade</t>
  </si>
  <si>
    <t>Contract has been awarded and the supplier has been notified - Accurate Data Services Ltd 27/06/18. The contract has been drawn up and uploaded to SigningHub. Contract completely signed off by Supplier and Phillippa on 06/07/18.</t>
  </si>
  <si>
    <t xml:space="preserve">Mail services </t>
  </si>
  <si>
    <r>
      <t>24+</t>
    </r>
    <r>
      <rPr>
        <sz val="11"/>
        <color rgb="FFFF0000"/>
        <rFont val="Calibri"/>
        <family val="2"/>
      </rPr>
      <t>12+12</t>
    </r>
  </si>
  <si>
    <t>GW4 completed approved both OTE.</t>
  </si>
  <si>
    <r>
      <t>24+12+</t>
    </r>
    <r>
      <rPr>
        <sz val="11"/>
        <color rgb="FFFF0000"/>
        <rFont val="Calibri"/>
        <family val="2"/>
        <scheme val="minor"/>
      </rPr>
      <t>12</t>
    </r>
    <r>
      <rPr>
        <sz val="11"/>
        <rFont val="Calibri"/>
        <family val="2"/>
        <scheme val="minor"/>
      </rPr>
      <t>+12</t>
    </r>
  </si>
  <si>
    <t xml:space="preserve">Extension to 03/07/19 signed.
</t>
  </si>
  <si>
    <t>Y1 = £15,281
Y2 = £15,419
Y3 = £15,558
Y4 = £15,687
Y5 = £15,828</t>
  </si>
  <si>
    <t>Local Authority Designated Officer – for Adults - Module (currently Liquid Logic)</t>
  </si>
  <si>
    <t>Variation to LCS contract to include LADO module fully signed on Signing Hub (11/03/19)</t>
  </si>
  <si>
    <t>£6000 then £1000</t>
  </si>
  <si>
    <r>
      <rPr>
        <sz val="11"/>
        <color rgb="FFFF0000"/>
        <rFont val="Calibri"/>
        <family val="2"/>
        <scheme val="minor"/>
      </rPr>
      <t>This is now complete.</t>
    </r>
    <r>
      <rPr>
        <sz val="11"/>
        <rFont val="Calibri"/>
        <family val="2"/>
        <scheme val="minor"/>
      </rPr>
      <t xml:space="preserve"> Extended for 1 year using BV form as total cost was - £3916.80</t>
    </r>
  </si>
  <si>
    <t>ICT/Libraries</t>
  </si>
  <si>
    <t xml:space="preserve">Library management system </t>
  </si>
  <si>
    <r>
      <t>36+</t>
    </r>
    <r>
      <rPr>
        <sz val="11"/>
        <color rgb="FFFF0000"/>
        <rFont val="Calibri"/>
        <family val="2"/>
        <scheme val="minor"/>
      </rPr>
      <t>24</t>
    </r>
    <r>
      <rPr>
        <sz val="11"/>
        <rFont val="Calibri"/>
        <family val="2"/>
        <scheme val="minor"/>
      </rPr>
      <t>+24</t>
    </r>
  </si>
  <si>
    <t>Lorena Phillips/Chrys Mellor</t>
  </si>
  <si>
    <t>GW4 sent to ML &amp; Julie B for approval (12/03/2018)</t>
  </si>
  <si>
    <t>Consultancy - Kerb side collection and Recycling</t>
  </si>
  <si>
    <t>Framework - External</t>
  </si>
  <si>
    <t>Kerry Green/Tony Vardy</t>
  </si>
  <si>
    <r>
      <rPr>
        <sz val="11"/>
        <color rgb="FFFF0000"/>
        <rFont val="Calibri"/>
        <family val="2"/>
      </rPr>
      <t xml:space="preserve">Not to be advertised </t>
    </r>
    <r>
      <rPr>
        <sz val="11"/>
        <rFont val="Calibri"/>
        <family val="2"/>
      </rPr>
      <t>Quotation approved, awaiting copy of contract documentation from Bloom. Complete</t>
    </r>
  </si>
  <si>
    <t>ICT/Property</t>
  </si>
  <si>
    <t>Door Access Control</t>
  </si>
  <si>
    <t>Nick Leggott/Karen Adamson</t>
  </si>
  <si>
    <t>16/01/2019 Silas Signed contract, Completed.
11/01/2019 Reminder sent to Silas through SigningHub
03/01/2019 Extension contract curently on SigningHub awaiting signature from Silas Holland (NYCC).</t>
  </si>
  <si>
    <t>DN345414</t>
  </si>
  <si>
    <t>Consultancy - A study on ‘Low carbon value chains and economic growth’</t>
  </si>
  <si>
    <t>3</t>
  </si>
  <si>
    <t>Rebecca Shenton (Support Stacey)</t>
  </si>
  <si>
    <t xml:space="preserve">Awarded to Cambridge Econometrics on 10th August. Can be moved on. </t>
  </si>
  <si>
    <t>Stronger Communities Programme &amp; Investment Evaluation</t>
  </si>
  <si>
    <t>50+6</t>
  </si>
  <si>
    <t>Marie-Ann Jackson and Mark Taylor</t>
  </si>
  <si>
    <t>Rebecca Shenton</t>
  </si>
  <si>
    <t xml:space="preserve">Awarded to The Ideas Mine on 16th August. 50+6 months. Commencing 20th August - 19th October 2022. Can be moved on. </t>
  </si>
  <si>
    <t>Natalie Coulson</t>
  </si>
  <si>
    <t>PROJECT COMPLETED
Links to Recruitment Admin System project.  This project is in relation to DBS functionality prior to launch of DBS national product called R1.</t>
  </si>
  <si>
    <t>Robert Ling confirmed that Gartner is utilised well across T&amp;C.</t>
  </si>
  <si>
    <t>2+1+1+1</t>
  </si>
  <si>
    <t>Keren Wild / Nic Watters / Mike Pickering / Gordon Atkin</t>
  </si>
  <si>
    <t>PROJECT COMPLETED - please move to completed</t>
  </si>
  <si>
    <t>Contract extension signed off on SigningHub. 08/03/18</t>
  </si>
  <si>
    <t>108</t>
  </si>
  <si>
    <t xml:space="preserve">Service area undertaking development of 2020 documentation.
G1 &amp; G3 approved 28/03/18. Service area to issue PO. </t>
  </si>
  <si>
    <t xml:space="preserve">HSM devices </t>
  </si>
  <si>
    <t>Complete. Signed up for a 3 year contract using the NHS SBS IT framework.</t>
  </si>
  <si>
    <t>SEND Employment Grant</t>
  </si>
  <si>
    <t>Rebecca Ward</t>
  </si>
  <si>
    <t>GRANT - approved at CYPSLT APR18.</t>
  </si>
  <si>
    <t xml:space="preserve">Egress - secure email </t>
  </si>
  <si>
    <t>T&amp;C to review the performance and requirements to either 12 month rolling maintain with review in X years.  Three quotes received so no BVF required.</t>
  </si>
  <si>
    <t>Wisdom - provided by Daisy</t>
  </si>
  <si>
    <r>
      <t>Softcat have provided contract docs. Sent to service area.</t>
    </r>
    <r>
      <rPr>
        <sz val="11"/>
        <color rgb="FF00B050"/>
        <rFont val="Calibri"/>
        <family val="2"/>
        <scheme val="minor"/>
      </rPr>
      <t xml:space="preserve"> </t>
    </r>
    <r>
      <rPr>
        <b/>
        <sz val="11"/>
        <color rgb="FF00B050"/>
        <rFont val="Calibri"/>
        <family val="2"/>
        <scheme val="minor"/>
      </rPr>
      <t>Completed</t>
    </r>
  </si>
  <si>
    <t>Catering Traded Service Stock Ordering System (Cypad)</t>
  </si>
  <si>
    <t>Shaun Mancrief (Service) / Lorena Philips (T&amp;C)</t>
  </si>
  <si>
    <t>PROJECT COMPLETED
2020 Project ID 1947.  Also links to Catering Traded Service MI System project on FPP.
Contract commencement date: 01/09/18, Go-live date: 05/11/18.
Direct award from YPO framework agreement (684 Electronic Kitchen Management).</t>
  </si>
  <si>
    <t>YPO Own Framework</t>
  </si>
  <si>
    <t>02/07/18</t>
  </si>
  <si>
    <t>Please move to completed.</t>
  </si>
  <si>
    <t>ICT/HAS</t>
  </si>
  <si>
    <t>Avril Hunter/Jon Tilley</t>
  </si>
  <si>
    <t xml:space="preserve">Service area will be sending in a BVF. </t>
  </si>
  <si>
    <t>Adult Care Worker and Lead Adult Care Worker apprenticeships - EPA</t>
  </si>
  <si>
    <t>DR</t>
  </si>
  <si>
    <t>Ruth Egglestone</t>
  </si>
  <si>
    <t>Director's Recommendation approved.</t>
  </si>
  <si>
    <t>(CIPFA) Accountancy/Taxation Professional Level 7</t>
  </si>
  <si>
    <t xml:space="preserve">LEN Network Opportunities </t>
  </si>
  <si>
    <t>BVF completed and submitted.</t>
  </si>
  <si>
    <t>Consultancy: District Heating feasibility study Stage 1. Heat Mapping, Stage 2. Energy Master Planning</t>
  </si>
  <si>
    <t>5+3</t>
  </si>
  <si>
    <t>Open Bid Grant</t>
  </si>
  <si>
    <t>Mark Rushworth</t>
  </si>
  <si>
    <t>Contract signed and customer satisfaction form completed.</t>
  </si>
  <si>
    <t>Various Leadership &amp; Management Apprenticeships</t>
  </si>
  <si>
    <t>LPP DPS</t>
  </si>
  <si>
    <t>Various Facilities Management Apprenticeships</t>
  </si>
  <si>
    <t>Various Hospitality &amp; Catering Apprenticeships</t>
  </si>
  <si>
    <t>Approved Mental Health Professionals Legal Update</t>
  </si>
  <si>
    <t>Contract uploaded to SigningHub</t>
  </si>
  <si>
    <t>Payments software (Potentially CORVID option)</t>
  </si>
  <si>
    <t>Natalie Coulson / Nicola Young</t>
  </si>
  <si>
    <t xml:space="preserve">Procurement closed - forward to Kirsten from a contract management perspective. </t>
  </si>
  <si>
    <t>Pensions Admin Support Services (GMP)</t>
  </si>
  <si>
    <r>
      <t>12</t>
    </r>
    <r>
      <rPr>
        <sz val="11"/>
        <color rgb="FFFF0000"/>
        <rFont val="Calibri"/>
        <family val="2"/>
        <scheme val="minor"/>
      </rPr>
      <t>+6</t>
    </r>
  </si>
  <si>
    <t xml:space="preserve"> Cannot be completed until Central Govt have issued some key info.  Therefore need to check contract term and this may be an extension required. After which will not be required moving forward. </t>
  </si>
  <si>
    <r>
      <t>Kofax - Document Manangement Centre scanning/</t>
    </r>
    <r>
      <rPr>
        <b/>
        <sz val="11"/>
        <rFont val="Calibri"/>
        <family val="2"/>
        <scheme val="minor"/>
      </rPr>
      <t>ePost</t>
    </r>
    <r>
      <rPr>
        <sz val="11"/>
        <rFont val="Calibri"/>
        <family val="2"/>
        <scheme val="minor"/>
      </rPr>
      <t xml:space="preserve"> - Mail Scanning</t>
    </r>
  </si>
  <si>
    <t>John Metcalfe (moving to Corp)</t>
  </si>
  <si>
    <r>
      <t xml:space="preserve">18/7 Confirmation of agreement to 12 month rolling not 3 yr contract , copy of t&amp;cs from original agreement received saved in folder - will be a need to review in 2019 to look for an ongoing provision past Sept 19 as there are other provider available - details sent to JM regarding notice periods etc . - </t>
    </r>
    <r>
      <rPr>
        <b/>
        <sz val="11"/>
        <rFont val="Calibri"/>
        <family val="2"/>
        <scheme val="minor"/>
      </rPr>
      <t>Complete</t>
    </r>
  </si>
  <si>
    <t>17600 &amp; £12800</t>
  </si>
  <si>
    <r>
      <t>48+</t>
    </r>
    <r>
      <rPr>
        <sz val="11"/>
        <color rgb="FFFF0000"/>
        <rFont val="Calibri"/>
        <family val="2"/>
        <scheme val="minor"/>
      </rPr>
      <t>12</t>
    </r>
  </si>
  <si>
    <t>John Metcalfe/CST/Nick Leggott</t>
  </si>
  <si>
    <t xml:space="preserve">Treasury Management Consultancy Services  </t>
  </si>
  <si>
    <r>
      <t>36+</t>
    </r>
    <r>
      <rPr>
        <sz val="11"/>
        <color rgb="FFFF0000"/>
        <rFont val="Calibri"/>
        <family val="2"/>
      </rPr>
      <t>24</t>
    </r>
  </si>
  <si>
    <t>Contracts register updated. Line to be moved to completed</t>
  </si>
  <si>
    <t>Payments software (currently provided by Bottomline)</t>
  </si>
  <si>
    <r>
      <t xml:space="preserve">Procurement support ended contract award  complete - possibe requirement for contract management advised project manager to ruquest support - </t>
    </r>
    <r>
      <rPr>
        <b/>
        <sz val="11"/>
        <rFont val="Calibri"/>
        <family val="2"/>
      </rPr>
      <t>Complete</t>
    </r>
  </si>
  <si>
    <r>
      <t xml:space="preserve"> best value </t>
    </r>
    <r>
      <rPr>
        <b/>
        <sz val="11"/>
        <rFont val="Calibri"/>
        <family val="2"/>
        <scheme val="minor"/>
      </rPr>
      <t>completed</t>
    </r>
  </si>
  <si>
    <t>BVF forwarded 11/11/17. Previous years via BVF £8394. Contract end 30/09/18.</t>
  </si>
  <si>
    <t>Nick Leggott / Silas Holland</t>
  </si>
  <si>
    <t>Agreed that a Best value form will be used for another years service while the service area undergo a review of the requirements. Service area to submit BVR form</t>
  </si>
  <si>
    <t>Bev Thompson / Lorena Phillips</t>
  </si>
  <si>
    <t>Matt Clothier</t>
  </si>
  <si>
    <t>Alistair Gourlay has confirmed that they have entered into an rolling contract for a maximum of five years at £1,500 per year.  A best value form has been submitted.</t>
  </si>
  <si>
    <t>Chartered Manager Degree Apprenticeship</t>
  </si>
  <si>
    <t>DN498433</t>
  </si>
  <si>
    <t>Insurance (All Lots)</t>
  </si>
  <si>
    <t>Protector, RMP, Travelers</t>
  </si>
  <si>
    <t>Tender Via CCS/Broker</t>
  </si>
  <si>
    <t>1st year extension taken.1 further extensions available to tie in with insurance brokerage procurement and LGR</t>
  </si>
  <si>
    <t>Keiran confirmed the insurance renewal for 6 months to tie in with LGR, NK still waiting for renewal docs.</t>
  </si>
  <si>
    <r>
      <t>60+12+12+12+</t>
    </r>
    <r>
      <rPr>
        <b/>
        <sz val="11"/>
        <color rgb="FFFF0000"/>
        <rFont val="Calibri"/>
        <family val="2"/>
        <scheme val="minor"/>
      </rPr>
      <t>12</t>
    </r>
    <r>
      <rPr>
        <sz val="11"/>
        <rFont val="Calibri"/>
        <family val="2"/>
        <scheme val="minor"/>
      </rPr>
      <t xml:space="preserve"> +12 </t>
    </r>
  </si>
  <si>
    <t>Caitlin Bell (PM)/Dani Reeves</t>
  </si>
  <si>
    <t>Extension signed by all parties 27/07. Please move to completed.</t>
  </si>
  <si>
    <r>
      <t xml:space="preserve">SS Agreed BV approach , BV received a logged combined unix &amp; support for one year £14,279 in total. </t>
    </r>
    <r>
      <rPr>
        <b/>
        <sz val="11"/>
        <rFont val="Calibri"/>
        <family val="2"/>
      </rPr>
      <t>Completed</t>
    </r>
  </si>
  <si>
    <t>Health and Safety Management System</t>
  </si>
  <si>
    <t>PROJECT COMPLETED
2020 Project ID 1053.  Contract commencement date: 01/11/18, Go-live date: 01/04/19.</t>
  </si>
  <si>
    <t xml:space="preserve">Angel Solution - Pendulum &amp; Broadcast &amp; Watchsted Inspector Additional Modules to be purchased. </t>
  </si>
  <si>
    <t>Extension Agreed -financial commitment given to supplier as per budget constraints.</t>
  </si>
  <si>
    <t>ICT/Fleet</t>
  </si>
  <si>
    <t>Vehicle Telematics</t>
  </si>
  <si>
    <t>Andrew Sharpin / Nick Leggott</t>
  </si>
  <si>
    <t>Approved by PAB, GW1/3 approved 20/06/18.  Access agreement send and received 15.10.18.</t>
  </si>
  <si>
    <t>Check with Alison on progress and dates update.</t>
  </si>
  <si>
    <t>Business Capital Grant Programme (Let's Grow)</t>
  </si>
  <si>
    <t>na</t>
  </si>
  <si>
    <t>Extension/variation agreement agreed and signed to 31/3/21.</t>
  </si>
  <si>
    <t>Recruitment Admin System</t>
  </si>
  <si>
    <t>PROJECT COMPLETED
Contract commencement date: 05/11/18, Go-live date: 17/12/18.</t>
  </si>
  <si>
    <t>Schools; online payment system for school trips and meals</t>
  </si>
  <si>
    <t xml:space="preserve">Please move to completed. </t>
  </si>
  <si>
    <t xml:space="preserve">Regional Spend analysis tool </t>
  </si>
  <si>
    <r>
      <rPr>
        <b/>
        <sz val="11"/>
        <rFont val="Calibri"/>
        <family val="2"/>
      </rPr>
      <t xml:space="preserve">Joint support with Patricia. </t>
    </r>
    <r>
      <rPr>
        <sz val="11"/>
        <rFont val="Calibri"/>
        <family val="2"/>
      </rPr>
      <t>Porge awarded at 10% discount from last years cost. Discussion with NYES regarding payment.
Query on Illuminator module? Otherwise complete.</t>
    </r>
  </si>
  <si>
    <t>DN209541</t>
  </si>
  <si>
    <t>Traded Service Online Communications Platform (SLA Online, including Governor Module and Training Portal)</t>
  </si>
  <si>
    <t>16</t>
  </si>
  <si>
    <t>PROJECT COMPLETED
(£15,995.00 Main System, £3,995.00 Governor Module, £950.00 Training Portal)
All modules now end 31/03/2020.</t>
  </si>
  <si>
    <t>See notes for breakdown</t>
  </si>
  <si>
    <t>Metalogix SharePoint Content Matrix 6 &amp; control Point</t>
  </si>
  <si>
    <t>Awarded 28/08/19 for 3 years</t>
  </si>
  <si>
    <t>Infrastructure Systems</t>
  </si>
  <si>
    <t>Corporate Travel and Accommodation</t>
  </si>
  <si>
    <t>12+15</t>
  </si>
  <si>
    <t>Helen Jespersen/Graham Millichap</t>
  </si>
  <si>
    <t>CTM stating earliest go live date is mid-February, KL challenging. Implementation training sessions booked. Capita extended to 01/03</t>
  </si>
  <si>
    <t>DN336239</t>
  </si>
  <si>
    <t>Extra Care Housing - Bentham</t>
  </si>
  <si>
    <t>Already awarded scheme</t>
  </si>
  <si>
    <t>DN361041</t>
  </si>
  <si>
    <t>Extra Care Housing - Helmsley</t>
  </si>
  <si>
    <t>DN361809</t>
  </si>
  <si>
    <t>Extra Care Housing - Skipton</t>
  </si>
  <si>
    <t xml:space="preserve">Clothing </t>
  </si>
  <si>
    <t>Workwear</t>
  </si>
  <si>
    <t>Becky Naisbitt / Graham Millichap</t>
  </si>
  <si>
    <t xml:space="preserve">Closed on 2nd January.  1 bid - consensus sessions held. GW3 requires drafting up following confirmation on self cert points of the SQ. </t>
  </si>
  <si>
    <t>AP Forensics - Accounts Payable Financial Solution (Call off AP Framework)</t>
  </si>
  <si>
    <t>Natalie Coulson / Katherine Edge</t>
  </si>
  <si>
    <t>Awarded to Software Box Ltd via CCS Tech 2 Framework.
Contract fully signed. COMPLETED</t>
  </si>
  <si>
    <t>3 year cost</t>
  </si>
  <si>
    <t>Check if this has been completed.</t>
  </si>
  <si>
    <t xml:space="preserve">Community resource software for volunteers </t>
  </si>
  <si>
    <t>Sunrise (Sostenuto System)</t>
  </si>
  <si>
    <t>Silas Holland/Wendy Rowley</t>
  </si>
  <si>
    <t>New contract for 12 months to be awarded to Sunrise after the completion of a best value form.</t>
  </si>
  <si>
    <t>LANDesk (Ivanti (Softcat)</t>
  </si>
  <si>
    <t>New contract for 12 months to be awarded to Ivanti through a direct award to Softcat.</t>
  </si>
  <si>
    <t>Spectrum Spatail Analyst: License: £40,000Data Subscription: £8000 per annum maint &amp; support</t>
  </si>
  <si>
    <t>Direct awarded to CDS (Pitney Bowes re-seller)</t>
  </si>
  <si>
    <t>John Metcalfe/Nick Leggott</t>
  </si>
  <si>
    <t>15/3 - refused to sign extension document SS aware - license to continue with no extension doc - enforced notice period dates on nick leggot &amp; john metcalfe</t>
  </si>
  <si>
    <r>
      <t>Variation &amp; Extension agreement all signed off.</t>
    </r>
    <r>
      <rPr>
        <sz val="11"/>
        <color rgb="FF00B050"/>
        <rFont val="Calibri"/>
        <family val="2"/>
        <scheme val="minor"/>
      </rPr>
      <t xml:space="preserve"> </t>
    </r>
    <r>
      <rPr>
        <b/>
        <sz val="11"/>
        <color rgb="FF00B050"/>
        <rFont val="Calibri"/>
        <family val="2"/>
        <scheme val="minor"/>
      </rPr>
      <t>Completed</t>
    </r>
    <r>
      <rPr>
        <b/>
        <sz val="11"/>
        <color rgb="FFFF0000"/>
        <rFont val="Calibri"/>
        <family val="2"/>
        <scheme val="minor"/>
      </rPr>
      <t xml:space="preserve"> </t>
    </r>
  </si>
  <si>
    <t>BVF completed</t>
  </si>
  <si>
    <t>Flood risk consultant - Feasibility study</t>
  </si>
  <si>
    <t xml:space="preserve">Emily Mellalieu </t>
  </si>
  <si>
    <t>Appointed WSP. Complete.</t>
  </si>
  <si>
    <r>
      <t xml:space="preserve">SS Agreed BV approach , BV received a logged combined unix &amp; support for one year £14,279 in total. </t>
    </r>
    <r>
      <rPr>
        <b/>
        <sz val="11"/>
        <rFont val="Calibri"/>
        <family val="2"/>
        <scheme val="minor"/>
      </rPr>
      <t>Completed</t>
    </r>
  </si>
  <si>
    <r>
      <t>34+</t>
    </r>
    <r>
      <rPr>
        <sz val="11"/>
        <color rgb="FFFF0000"/>
        <rFont val="Calibri"/>
        <family val="2"/>
        <scheme val="minor"/>
      </rPr>
      <t>24</t>
    </r>
  </si>
  <si>
    <t>Fiona Sowerby/Louise Gigante</t>
  </si>
  <si>
    <t>Contract extension / variation from 01/01/19 - 30/12/20.</t>
  </si>
  <si>
    <t>Payments software (KORVID option)</t>
  </si>
  <si>
    <r>
      <t>Sourced new system via g-cloud Corvid , g-cloud document signed off by both sides , PO issued by MB , Customer benefit record sent to CCS-</t>
    </r>
    <r>
      <rPr>
        <b/>
        <sz val="11"/>
        <rFont val="Calibri"/>
        <family val="2"/>
      </rPr>
      <t>Completed -DN418721</t>
    </r>
  </si>
  <si>
    <t>Care Leadership and Management Apprenticeship</t>
  </si>
  <si>
    <t>Can be moved to completed.</t>
  </si>
  <si>
    <t>HR Consultant/Partner Apprenticeship</t>
  </si>
  <si>
    <t>Recruitment Consultant &amp; Recruitment Resourcer Apprenticeship</t>
  </si>
  <si>
    <t>Bridges and Structures Asset Management Software (AMX)</t>
  </si>
  <si>
    <t>Silas Holland / Karen Wilson / John D Smith</t>
  </si>
  <si>
    <t>Call-off Contract signed off and G-Cloud record form completed and returned.</t>
  </si>
  <si>
    <t xml:space="preserve">Please move to completed </t>
  </si>
  <si>
    <t>DN375266</t>
  </si>
  <si>
    <t>Single view of Child Solution</t>
  </si>
  <si>
    <t>Claire Cooper</t>
  </si>
  <si>
    <r>
      <t xml:space="preserve">Awarded. </t>
    </r>
    <r>
      <rPr>
        <sz val="11"/>
        <rFont val="Calibri"/>
        <family val="2"/>
      </rPr>
      <t xml:space="preserve">YORtender record needs to be updated before closing.
Contracts signed. Contract due to be handed to supplier when on site visit. </t>
    </r>
  </si>
  <si>
    <r>
      <t>12+</t>
    </r>
    <r>
      <rPr>
        <sz val="11"/>
        <color rgb="FFFF0000"/>
        <rFont val="Calibri"/>
        <family val="2"/>
        <scheme val="minor"/>
      </rPr>
      <t>14</t>
    </r>
  </si>
  <si>
    <t xml:space="preserve">Contract fully signed </t>
  </si>
  <si>
    <t>DN498159</t>
  </si>
  <si>
    <t>Daisy</t>
  </si>
  <si>
    <t>1 year</t>
  </si>
  <si>
    <t>12 month Available extension taken and recorded</t>
  </si>
  <si>
    <r>
      <t>12+12+12+12+</t>
    </r>
    <r>
      <rPr>
        <sz val="11"/>
        <color rgb="FFFF0000"/>
        <rFont val="Calibri"/>
        <family val="2"/>
        <scheme val="minor"/>
      </rPr>
      <t>12</t>
    </r>
  </si>
  <si>
    <t>Supplied by Axial.
PO raised by Gavin for 12-month renewal of the annual maintenance and licencing for the period 26/02/18 - 25/02/19 at £4,650.00.  Unsure of the original contract period or whole life costs; however it appears to have been in place since at least 26/02/15.  Unable to obtain further financial breakdown for this service, due to lack of information.  Gavin has confirmed via email that this will be needed as from 26/02/19.  (10/05/18 GP) 
£14470</t>
  </si>
  <si>
    <t>Education case management system - Servelec (previously Tribal/Synergy)</t>
  </si>
  <si>
    <t>Chris Dale/Katie Longstaff</t>
  </si>
  <si>
    <t>Extension Agreed - paperwork to be completed by CD-Completed</t>
  </si>
  <si>
    <t>Exemption in place until December 2022. To be reviewed. Contract renewed on annual basis Feb. One final  renewal to take from Feb 2023. Jo to see requirements for LGR</t>
  </si>
  <si>
    <t>Voice Data Network Maintenance</t>
  </si>
  <si>
    <t>North Yorkshire County Council</t>
  </si>
  <si>
    <t>SLA renewed to 31/03/2023</t>
  </si>
  <si>
    <t>Directors reccomendation completed on the basis that software they offer is unique. Signed off for 12+12+12</t>
  </si>
  <si>
    <t>DN376153</t>
  </si>
  <si>
    <t>ICT/Insurance</t>
  </si>
  <si>
    <t>Insurance Claims and Risk Management System (Currently DWF 3sixty)</t>
  </si>
  <si>
    <r>
      <t>24+</t>
    </r>
    <r>
      <rPr>
        <sz val="11"/>
        <color rgb="FFFF0000"/>
        <rFont val="Calibri"/>
        <family val="2"/>
        <scheme val="minor"/>
      </rPr>
      <t>24</t>
    </r>
    <r>
      <rPr>
        <sz val="11"/>
        <rFont val="Calibri"/>
        <family val="2"/>
        <scheme val="minor"/>
      </rPr>
      <t>+24+24</t>
    </r>
  </si>
  <si>
    <t xml:space="preserve">Extension issued for 24 months and signed off by supplier. End date 5th March 2021. Amended on YorTender record. </t>
  </si>
  <si>
    <t>Currently provided by NYnet.  Potentially no procurement required if continue to use NYnet.  This project links in with the WAN - Schools project above. 
Jon Learoyd has been liaising with YHPSN in relation to benchmarking costings.  Report will then be produced for Management Board as to next steps.</t>
  </si>
  <si>
    <t>DN421262</t>
  </si>
  <si>
    <t>Corporate CRM (Customer Relationship Management) System (2020 PMO Ref: 2293)
(currently Lagan, provided by Verint - contract with Boxxe as a re-seller)</t>
  </si>
  <si>
    <t>Already awarded</t>
  </si>
  <si>
    <t>Already awarded via KCS Framework.  Sign-off was delayed due to inclusion of wording for onboarding for other councils which is now resolved.</t>
  </si>
  <si>
    <t>Lorena Phillips / Jackie Ridley</t>
  </si>
  <si>
    <t>Completed - 1 year contract through the KCS framework - extension is dependant on Project Kairos decision - potential to end and move functionality to Servelec. MC forwarded latest update 0300718</t>
  </si>
  <si>
    <t>DN383274</t>
  </si>
  <si>
    <t>Wide Area Network (WAN) - Schools</t>
  </si>
  <si>
    <t xml:space="preserve">Decision has been made, NYNET, Legal and SCHICT to work out SLA. </t>
  </si>
  <si>
    <t>Translation and Intepretation Services</t>
  </si>
  <si>
    <t>Janice Nicholson, Deborah Hugill, Shanna Carrell</t>
  </si>
  <si>
    <t>Contracts to be drafted 1st April. Hold up due to obtaining GDPR schedules and obtaining assuranses over provider HPPS:// portals.   Once contracts are drafted Veritau require sight before they go on signing hub as they are deemed high risk.  Jen Holbird is aware of this and raising as a wider discussion point with auditors</t>
  </si>
  <si>
    <t>DN233377</t>
  </si>
  <si>
    <t xml:space="preserve">Guidance document re-sent to service area and has been approved for circulation. </t>
  </si>
  <si>
    <t>Adult Learning System</t>
  </si>
  <si>
    <t>The final agreement has been signed and the project is now complete.</t>
  </si>
  <si>
    <t>DN398545</t>
  </si>
  <si>
    <t>Internet Filtering for Schools (Currently Smoothwall Product via Softcat)</t>
  </si>
  <si>
    <t>Smoothwall Product via Softcat.  Price accepted and PO raised by Joel Sanders.
Whole life cost is based on number of boxes pruchased via PO in 2018.  Keren advised that the contract is for 3 years.  If we wish to extend, we would have to negotiate extended warranty and support on the boxes that are now in place.</t>
  </si>
  <si>
    <t xml:space="preserve">DN325928 </t>
  </si>
  <si>
    <t>ICT/Transport</t>
  </si>
  <si>
    <t>Concessionary Fares Host Operator Processing System (HOPS) Back Office Function</t>
  </si>
  <si>
    <t>Cathy Summers</t>
  </si>
  <si>
    <t>PROJECT COMPLETED
Contract variation completed to tie in with other ENCTS services to co-terminate together.
Variation on Signing Hub - with supplier for signature.</t>
  </si>
  <si>
    <t>Arboriculture services (currently multi supplier framework)</t>
  </si>
  <si>
    <t>Helen Arnold</t>
  </si>
  <si>
    <t>G4 Signed off. Extensions awaiting to be signed off (Split into lots) -VM emailed Jayne to find out if any work is still to be completed on this or if its signed and completed. 08.01.2020 Final 6 month extension signed off until 31st March 2020. Find out more in Prof FPP meeting 10.01 This is being re-procured and no longer an extension piece of work</t>
  </si>
  <si>
    <t>Washroom services</t>
  </si>
  <si>
    <t>Contract in draft. Awaiting full scope of services from PHS.</t>
  </si>
  <si>
    <t>10+3+2</t>
  </si>
  <si>
    <t>GW4 has been approved.  Ally helped to arrange the contract extension. Completed.</t>
  </si>
  <si>
    <t>DN195921</t>
  </si>
  <si>
    <r>
      <t xml:space="preserve">Local Bus Service </t>
    </r>
    <r>
      <rPr>
        <sz val="11"/>
        <color theme="1"/>
        <rFont val="Calibri"/>
        <family val="2"/>
      </rPr>
      <t xml:space="preserve">- </t>
    </r>
    <r>
      <rPr>
        <u/>
        <sz val="11"/>
        <color theme="1"/>
        <rFont val="Calibri"/>
        <family val="2"/>
      </rPr>
      <t>Harrogate, Hambleton &amp; Richmondshire Area</t>
    </r>
    <r>
      <rPr>
        <sz val="11"/>
        <color theme="1"/>
        <rFont val="Calibri"/>
        <family val="2"/>
      </rPr>
      <t xml:space="preserve"> - Home to School Transport Review - </t>
    </r>
    <r>
      <rPr>
        <u/>
        <sz val="11"/>
        <color theme="1"/>
        <rFont val="Calibri"/>
        <family val="2"/>
      </rPr>
      <t>Harrogate &amp; Richmondshire Area</t>
    </r>
  </si>
  <si>
    <t>PROJECT COMPLETED
Likely to be procured under DPS in the future.</t>
  </si>
  <si>
    <t>Nick Horn/ Jen Cave</t>
  </si>
  <si>
    <r>
      <rPr>
        <sz val="11"/>
        <color rgb="FF000000"/>
        <rFont val="Calibri"/>
        <family val="2"/>
      </rPr>
      <t xml:space="preserve">G-cloud Doc signed off - </t>
    </r>
    <r>
      <rPr>
        <b/>
        <sz val="11"/>
        <color rgb="FF000000"/>
        <rFont val="Calibri"/>
        <family val="2"/>
      </rPr>
      <t>Completed -Published on Register DN418717</t>
    </r>
  </si>
  <si>
    <t>Library desktop booking system</t>
  </si>
  <si>
    <t>Nick Leggott/Chrys Mellor</t>
  </si>
  <si>
    <t>DR Approved.</t>
  </si>
  <si>
    <t>84+24+12</t>
  </si>
  <si>
    <t>Nicola Young</t>
  </si>
  <si>
    <t xml:space="preserve">Contract signed, contract on contract register, no further action required. </t>
  </si>
  <si>
    <t>Technical and Planning Advisor for Waste (Currently Jacobs)</t>
  </si>
  <si>
    <t>Suzanne Williamson / Lisa Cooper</t>
  </si>
  <si>
    <t>Additional 4 month contract issued. Project to be merged in to highways consultancy.</t>
  </si>
  <si>
    <t>DN201276</t>
  </si>
  <si>
    <t>Procured through Insight (NYCCs hardware partner) . Purchased hard drive + touch screen monitors. 335 PNs puchased consisting of;. 
Single Unit for PC: £375, Lenovo Monitor: £165 
Will need replacing in 5 years - to look at procurement 4 years from now.</t>
  </si>
  <si>
    <t>Awarded 01/04/20.</t>
  </si>
  <si>
    <r>
      <t>03.01.2020 -</t>
    </r>
    <r>
      <rPr>
        <sz val="11"/>
        <color rgb="FFFF0000"/>
        <rFont val="Calibri"/>
        <family val="2"/>
        <scheme val="minor"/>
      </rPr>
      <t xml:space="preserve"> Emma ca</t>
    </r>
    <r>
      <rPr>
        <sz val="11"/>
        <rFont val="Calibri"/>
        <family val="2"/>
        <scheme val="minor"/>
      </rPr>
      <t xml:space="preserve">n you chase up with the commissioner to see if this is complete? Spoken to Paul today (27/9), he anticipates doing this next week. </t>
    </r>
  </si>
  <si>
    <t>Nick Leggott / Silas Holland / Karen Wilson / Ritch Bain</t>
  </si>
  <si>
    <r>
      <rPr>
        <sz val="11"/>
        <color rgb="FF000000"/>
        <rFont val="Calibri"/>
        <family val="2"/>
      </rPr>
      <t xml:space="preserve">(15/3) BVF form completed. Last opportunity to extend, new procurement must be undertaken for system next financial year. Can be sourced through LASA RM1059 Framework.
(1/2) Advised Ritch to complete BVF. Last opportunity for extension and new procurement must be undertaken for system next financial year. Can be sourced through LASA RM1059 Framework.
(10/01) Spoken to Ritch Bain who has provided further information about the system. The contract has been in place for at least 15 years and has been renewed on an annual basis. Expires 31st March 2019. Annual cost for 19/20 is £20,500 (18/19 cost ~£20k - RPI increase each year). The Council purchase approximately 20 licences. The system is being upgraded and Ritch believes it is likely that the service area will be migrated from 'old flare' to 'new flare' in Q3 19/20. This may result in a pricing change in subsequent years as the system becomes modular. Service area note that this is a niche system with limited systems and providers in the market. Feedback and soft market intelligence suggests that the other available systems on the market are more style than substance. Nick Leggott confirmed that this system is being onboarded by T&amp;C.  
(20/12) Responsible officers unaware of this project. Talis and Netloan system renewals were suggested but the values and timescales did not fit. Hans suggested this was the Civica APP system used by Trading Standards. Hans had worked with Ritch Bain in 2015 resulting in a decision to keep the existing system at a cost of £19,175 p.a. 
</t>
    </r>
    <r>
      <rPr>
        <b/>
        <sz val="11"/>
        <color rgb="FF000000"/>
        <rFont val="Calibri"/>
        <family val="2"/>
      </rPr>
      <t xml:space="preserve">Queried with Ritch and Hans 19/07/2017. Contract has been in place since 2000? Paper completed by Hans 2015 on the options - this needs revisiting. </t>
    </r>
    <r>
      <rPr>
        <sz val="11"/>
        <color rgb="FF000000"/>
        <rFont val="Calibri"/>
        <family val="2"/>
      </rPr>
      <t>Need to confirm the start date, believe this is purchased through G-cloud on a 1+1 basis. Some work carried out by Hans in 2015. Possible negotiation point on a longer term agreement. Assigned 15/02/18</t>
    </r>
  </si>
  <si>
    <t>Case Management System - Aspire</t>
  </si>
  <si>
    <t>Lorena Phillips/Jackie Ridley</t>
  </si>
  <si>
    <t>Cloud Backup for Schools</t>
  </si>
  <si>
    <t>Nic Watters</t>
  </si>
  <si>
    <t>DN395459</t>
  </si>
  <si>
    <t xml:space="preserve">Case Management System - Currently Careworks </t>
  </si>
  <si>
    <t xml:space="preserve">Altia Workstation &amp; Toolbar (Altia FIT) </t>
  </si>
  <si>
    <t>Ritch Bain</t>
  </si>
  <si>
    <t>(7/2) Best value form completed. Extended for a further year. Further extensions available within BV threshold. 
(10/01) Advised Ritch to complete a Best Value Form, as, despite the long term nature of the existing service delivery, the value still falls well below the best value threshold. Ritch will then use PO as the basis for the contract. Advised that Ritch seeks a longer term, potentially with breaks. Ritch will liaise with Altia about freezing the price offered in 19/20 (£640) for future years. 
(20/12) Contract been in place in excess of 10 years (prior to Ritch working for NYCC so exact start date unknown). Annual renewal. Ritch put it through P2P in 18/19 (REQ 4239) which became purchase order 13703. Service area satisfied with product and supplier and believe the market to be limited as the software is niche. Longer term issues include switching to thin client (requiring a new licence) and expanding team (requiring additional licences), however, current arrangements are fine for straight renewal. 
(14/12) Initial contact. Awaiting response from Service Area. 
No information provided.</t>
  </si>
  <si>
    <t>DN395452</t>
  </si>
  <si>
    <t>DR signed off by GF. PO has been sent off to OUP for £14,011. PO has been saved in folder</t>
  </si>
  <si>
    <t>DN391145</t>
  </si>
  <si>
    <t xml:space="preserve">Research </t>
  </si>
  <si>
    <t>Open Skipton - Active Travel</t>
  </si>
  <si>
    <t xml:space="preserve">Service area have taken the decision to award to WSP through the BES framework. No further action required at this time. </t>
  </si>
  <si>
    <t>DN375035</t>
  </si>
  <si>
    <t>Smoking Cessation System</t>
  </si>
  <si>
    <t>Christina Rushworth (PM) / Mark Dixon</t>
  </si>
  <si>
    <t>Project ID 2262. Project completed, please move to completed</t>
  </si>
  <si>
    <t>Year 1: £14,175
Year 2: £8,962.50</t>
  </si>
  <si>
    <t xml:space="preserve"> DN356328</t>
  </si>
  <si>
    <t xml:space="preserve">Grounds </t>
  </si>
  <si>
    <t>Grounds Maintenance Contract - Area 3&amp;4 Harrogate/Craven and Selby</t>
  </si>
  <si>
    <r>
      <t>36+</t>
    </r>
    <r>
      <rPr>
        <sz val="11"/>
        <color rgb="FFFF0000"/>
        <rFont val="Calibri"/>
        <family val="2"/>
      </rPr>
      <t>6+6</t>
    </r>
  </si>
  <si>
    <t xml:space="preserve">Completed - Extension Signed </t>
  </si>
  <si>
    <t>Virtual school OOA attendance (Currently Welfare Call)</t>
  </si>
  <si>
    <t>Julie Bunn</t>
  </si>
  <si>
    <t>This has been put on to the Contracts Register - DN417538</t>
  </si>
  <si>
    <t xml:space="preserve">supply of Tyres for Heavy and Light Commercial Fleet vehicles </t>
  </si>
  <si>
    <t>Service area seeking exception to extend current agreement. NK chased up legal support on this 22.02.2022</t>
  </si>
  <si>
    <t>DN396512</t>
  </si>
  <si>
    <r>
      <t>2+</t>
    </r>
    <r>
      <rPr>
        <sz val="11"/>
        <color rgb="FFFF0000"/>
        <rFont val="Calibri"/>
        <family val="2"/>
        <scheme val="minor"/>
      </rPr>
      <t>1</t>
    </r>
    <r>
      <rPr>
        <sz val="11"/>
        <rFont val="Calibri"/>
        <family val="2"/>
        <scheme val="minor"/>
      </rPr>
      <t>+1</t>
    </r>
  </si>
  <si>
    <t>Completed by the service area.</t>
  </si>
  <si>
    <t xml:space="preserve">Property service work scheduling system (Concerto) </t>
  </si>
  <si>
    <t>Silas Holland/Nick Leggott</t>
  </si>
  <si>
    <t>Call-off contract signed and YORtender recorded updated.</t>
  </si>
  <si>
    <r>
      <t>12+12+12+12+12+12+</t>
    </r>
    <r>
      <rPr>
        <sz val="11"/>
        <color rgb="FFFF0000"/>
        <rFont val="Calibri"/>
        <family val="2"/>
        <scheme val="minor"/>
      </rPr>
      <t>12</t>
    </r>
  </si>
  <si>
    <t xml:space="preserve">(17/1) Best value form submitted by Gavin. Extension for a further year. Scope for further extensions within best value threshold. 
(11/1) Maintenance contract in place since April 2013. Annual cost of £2,500.    </t>
  </si>
  <si>
    <t>DN395338</t>
  </si>
  <si>
    <t xml:space="preserve">Gavin has completed a BV form for this. </t>
  </si>
  <si>
    <t>Marketing</t>
  </si>
  <si>
    <t>Advertising Campaign Harrogate Congestion</t>
  </si>
  <si>
    <t>12 weeks</t>
  </si>
  <si>
    <t>DN402326</t>
  </si>
  <si>
    <t xml:space="preserve">(17/4) 1 year extension placed with Softbox. Service area reviewing the solution. Potential to procure something new from next year.  
(8/2) Steve seeking three quotes on the basis of 1 or 3 year contract length. 
(1/2) Contract started in 2011. Advised Steve to complete a BVF. </t>
  </si>
  <si>
    <t>DN350101</t>
  </si>
  <si>
    <t>Corporate Grants Solution (currently Flexigrants)</t>
  </si>
  <si>
    <r>
      <t>Published on contracts register -</t>
    </r>
    <r>
      <rPr>
        <b/>
        <sz val="11"/>
        <rFont val="Calibri"/>
        <family val="2"/>
      </rPr>
      <t xml:space="preserve">Complete </t>
    </r>
  </si>
  <si>
    <t>Investment Viability Report</t>
  </si>
  <si>
    <t>2</t>
  </si>
  <si>
    <t>BVF completed.</t>
  </si>
  <si>
    <t>AnyComms Plus - web-based secure file transfer system for Early Year Providers data</t>
  </si>
  <si>
    <t>PROJECT COMPLETED
Best Value Form completed by Louise Woodward for 12 month period to enable T&amp;C to review potential future in-house option.  Links to Groupcall project.</t>
  </si>
  <si>
    <t>Stuart Langston</t>
  </si>
  <si>
    <t xml:space="preserve">Signed Off on SigningHub. Record on Contracts Register. </t>
  </si>
  <si>
    <t>Income management system (Currently Civica)</t>
  </si>
  <si>
    <t>12+9+12</t>
  </si>
  <si>
    <t>Contract fully signed.</t>
  </si>
  <si>
    <t>DN405687</t>
  </si>
  <si>
    <t>YORtender record complete.</t>
  </si>
  <si>
    <t>PROJECT COMPLETED
Call off from ESPO framework agreement (Library Stock 376f) and procured externally via STaR Shared Procurement Service.  NYCC is named as a potential user / beneficiary of the contract and so does not need to enter into a separate contract with the 3 suppliers.</t>
  </si>
  <si>
    <t>DN411577</t>
  </si>
  <si>
    <t>SQL course for T&amp;C</t>
  </si>
  <si>
    <t>Louise Bell</t>
  </si>
  <si>
    <t>Project awarded by Best Value process following no bids on Yortender.</t>
  </si>
  <si>
    <t>DN411446</t>
  </si>
  <si>
    <t xml:space="preserve">Skills and labour market analysis </t>
  </si>
  <si>
    <t xml:space="preserve">Shaun Withers </t>
  </si>
  <si>
    <t xml:space="preserve">Finally signed off. Added to Contracts Register. </t>
  </si>
  <si>
    <t>DN404539</t>
  </si>
  <si>
    <t>DN406370</t>
  </si>
  <si>
    <t>Anti Virus - schools</t>
  </si>
  <si>
    <t>Financial Servcies</t>
  </si>
  <si>
    <t>Approved template - requested to be put on YORtender/contracts register.</t>
  </si>
  <si>
    <t>DN411623</t>
  </si>
  <si>
    <t>Legal Services case management system - (Currently IKEN)</t>
  </si>
  <si>
    <t>Nick Leggott/Pauline Smurthwaite/Karen Wilson/Silas</t>
  </si>
  <si>
    <t xml:space="preserve">KD/BK Discussing further - ongoing KD picking up with SM meeting 5/7- No new updates </t>
  </si>
  <si>
    <t xml:space="preserve">Contract sent on Signing hub today </t>
  </si>
  <si>
    <r>
      <t>24+</t>
    </r>
    <r>
      <rPr>
        <sz val="11"/>
        <color rgb="FFFF0000"/>
        <rFont val="Calibri"/>
        <family val="2"/>
        <scheme val="minor"/>
      </rPr>
      <t>12+12+12+12</t>
    </r>
  </si>
  <si>
    <t>Fiona Sowerby / Chris Clark</t>
  </si>
  <si>
    <t xml:space="preserve">(11/4) Extension signed and complete. Service Area would like to look at the options with a view to potentially procuring a new system in advance of extension expiry date (June 2020). 
</t>
  </si>
  <si>
    <t>Design</t>
  </si>
  <si>
    <t>Esk Valley Rail Infrastructure - Consultancy</t>
  </si>
  <si>
    <t>9</t>
  </si>
  <si>
    <t>PROJECT COMPLETED</t>
  </si>
  <si>
    <t>DN405336</t>
  </si>
  <si>
    <t>Green Waste Framework Agreement</t>
  </si>
  <si>
    <t xml:space="preserve"> C.Clarkson and Son, G William Recycling, Elletec, YORwaste Ltd</t>
  </si>
  <si>
    <t>Taken one year extension and suppliers confirmed. YORwaste tbc as may not fit in this contract now?</t>
  </si>
  <si>
    <t>DN301921</t>
  </si>
  <si>
    <t>48+12+12</t>
  </si>
  <si>
    <t>Pensions Equity Investment</t>
  </si>
  <si>
    <t xml:space="preserve">Published on Contracts Register. Did not follow usual governance process however drafted retrospective GW3 for continuity and context moving forward. </t>
  </si>
  <si>
    <t>Karen Adamson Kevin Green Donna Stevenson</t>
  </si>
  <si>
    <t>Contract sent via signing hub awaiting signature, Geoff Archer out of office until 21/08/2019</t>
  </si>
  <si>
    <t>DN416023</t>
  </si>
  <si>
    <t>14/08/2019 Silias has now sent over the PO to softcat to process.
12/08/2019 Contract finalised and signed.
05/08/2019 A few amendments made to the contract. Contract uploaded on SigningHub for signature.
31/07/2019 Order form and agrement received from KCS. Reviewing documents and service area to sign and send PO if no issues.
05/07/2019 Gate 1 &amp; 3 signed off by PAB and sent onto Directors for signature.</t>
  </si>
  <si>
    <t>DN435798</t>
  </si>
  <si>
    <t>John Lewis/Jon Learoyd</t>
  </si>
  <si>
    <t>DN415109</t>
  </si>
  <si>
    <t>Emily Asquith-Fox / Julie Bunn
Rebecca Barber/Andrea Evans</t>
  </si>
  <si>
    <t>02/08/2019</t>
  </si>
  <si>
    <t xml:space="preserve">Contract signed by both parties. Completed </t>
  </si>
  <si>
    <r>
      <t>Document signed - copy sent to barclaycard and PN , hard copy returned to PN for filing -</t>
    </r>
    <r>
      <rPr>
        <b/>
        <sz val="11"/>
        <rFont val="Calibri"/>
        <family val="2"/>
        <scheme val="minor"/>
      </rPr>
      <t xml:space="preserve">COMPLETE </t>
    </r>
  </si>
  <si>
    <t>Pensioners reconcillation project</t>
  </si>
  <si>
    <t>Phillippa Cockerill/Mike Barber</t>
  </si>
  <si>
    <t>Credit Checks for Suppliers (Currently Experian)</t>
  </si>
  <si>
    <t xml:space="preserve">10.01.2020 - Chased, awaiting response
03.01.2020 - Emma can you chase up with the commissioner to see if this is complete? 
27/09/19 BVF with Service Area. 
No option for merger with Veritau's account, Libraries confirmed they do not have an account. Service area already have access to all aspects of CitizenView Plus, no additional access needed. Awaiting confirmation of number of users. </t>
  </si>
  <si>
    <t>DN416916</t>
  </si>
  <si>
    <t>E Governance Software to enable the management of the generation and publication of agendas to be handled entirely electronically.</t>
  </si>
  <si>
    <t>Karen Wilson / Daniel Harry</t>
  </si>
  <si>
    <t>Case and Quality Management System (Avatu Ltd - Blackrainbow)</t>
  </si>
  <si>
    <t>PROJECT COMPLETED
Contract awarded to Avatu Ltd via G-Cloud.  Blackrainbow will be providing the system.
12 weeks written notice is required to extend the contract.</t>
  </si>
  <si>
    <t>DN413132</t>
  </si>
  <si>
    <t>s</t>
  </si>
  <si>
    <t>Regulatory Complaince Officer Apprenticeship</t>
  </si>
  <si>
    <r>
      <t>24+</t>
    </r>
    <r>
      <rPr>
        <sz val="11"/>
        <color rgb="FFFF0000"/>
        <rFont val="Calibri"/>
        <family val="2"/>
      </rPr>
      <t>12</t>
    </r>
  </si>
  <si>
    <t xml:space="preserve">Ruth Egglestone/Tracy Harrison </t>
  </si>
  <si>
    <t xml:space="preserve">Contract awarded fro 24+12months, initial contract awarded under best value process. </t>
  </si>
  <si>
    <t>DN307878</t>
  </si>
  <si>
    <t xml:space="preserve">Extra Care Housing -  Filey </t>
  </si>
  <si>
    <t>Dale Owens</t>
  </si>
  <si>
    <t xml:space="preserve">Contract has been extended from 1st September 2019 till 31st August 2020 £4999.00. Contract has been fully signed off. </t>
  </si>
  <si>
    <t>DN427141</t>
  </si>
  <si>
    <t>Improving school attendance across Scarborough</t>
  </si>
  <si>
    <t>Richard Benstead</t>
  </si>
  <si>
    <t>Consensus undertaken but Dept of Education are not wanting to make the award. I am liaising with them regarding drafting letter to provider.</t>
  </si>
  <si>
    <t xml:space="preserve"> </t>
  </si>
  <si>
    <t>DN374977</t>
  </si>
  <si>
    <r>
      <t xml:space="preserve">contract management being picked up by KDi - no agreement in place agreed with YPO AND KD- </t>
    </r>
    <r>
      <rPr>
        <b/>
        <sz val="11"/>
        <rFont val="Calibri"/>
        <family val="2"/>
      </rPr>
      <t xml:space="preserve">Complete  - </t>
    </r>
  </si>
  <si>
    <t>Data Scientist Aprenticeship</t>
  </si>
  <si>
    <t>Contract completed and signed off by supplier - Published on contracts register.</t>
  </si>
  <si>
    <t>9UKD-9D89YQ</t>
  </si>
  <si>
    <t>Children, Young People &amp; Families Manager</t>
  </si>
  <si>
    <t>Signed, YORtender updated and Contracts Register updated.</t>
  </si>
  <si>
    <t>DN418381</t>
  </si>
  <si>
    <t>Contract fully signed off and Contract register updated</t>
  </si>
  <si>
    <t>DN211379</t>
  </si>
  <si>
    <t>IT Apprenticeship Pathway</t>
  </si>
  <si>
    <t>Contract fully signed off - YORtender updated</t>
  </si>
  <si>
    <t>Civil Engineering (degree), Level 6 Apprenticeship - Leeds Beckett</t>
  </si>
  <si>
    <t>42+12+12</t>
  </si>
  <si>
    <t xml:space="preserve">Ruth Chester/Tracy Harrison </t>
  </si>
  <si>
    <t>Paralegal Apprenticeship</t>
  </si>
  <si>
    <t>Will Jones</t>
  </si>
  <si>
    <t>Contract awaiting sign off. Will need actioning when signed.</t>
  </si>
  <si>
    <t>Opportunity area - external evaluator</t>
  </si>
  <si>
    <t>Cerys Townsend / Richard Bensted</t>
  </si>
  <si>
    <t>They have identified a preferred supplier and are considering awarding on the basis of a best value form.  Richard Benstead has confirmed that the best value form will be submitted shortly. - Emailed Richard to chase 13/1/2020
Chased for BVF 01/09/2020
RB advised that BVF would be sent in the near future (09/09/2020)</t>
  </si>
  <si>
    <t>DN471876</t>
  </si>
  <si>
    <t>Digital &amp; Technology Solutions Specialist - IT Strategy Specialist</t>
  </si>
  <si>
    <t>DN418721</t>
  </si>
  <si>
    <t>DN408935</t>
  </si>
  <si>
    <t>Civil Engineering Technician - Leeds College</t>
  </si>
  <si>
    <t>Contract signed &amp; YORtender/Contracts register updated</t>
  </si>
  <si>
    <t>DN423079</t>
  </si>
  <si>
    <t>Civil Engineering (degree), Level 6 Apprenticeship - Teesside Uni</t>
  </si>
  <si>
    <t>90</t>
  </si>
  <si>
    <t xml:space="preserve">Construction Site Engineering Technician - Level 4 </t>
  </si>
  <si>
    <t>Fully signed off, YORtender &amp; Contracts Register updated</t>
  </si>
  <si>
    <t>DN307686</t>
  </si>
  <si>
    <t>Customer Service Specialist Level 3 Apprenticeship</t>
  </si>
  <si>
    <t>15+12+12</t>
  </si>
  <si>
    <t>Teaching Assistant Apprenticeship Level 3</t>
  </si>
  <si>
    <t xml:space="preserve">Annabel MacGregor/Tracy Harrison </t>
  </si>
  <si>
    <t>Upper Wensleydale Home to School Transport route 553R</t>
  </si>
  <si>
    <t>11</t>
  </si>
  <si>
    <t>Director's recommendation completed.</t>
  </si>
  <si>
    <t>Public rights of way system - (Currently Exegesis) Countryside Access Service review</t>
  </si>
  <si>
    <t>Claire Cooper/Nick Leggott/Karen Lane</t>
  </si>
  <si>
    <t xml:space="preserve">To be assigned to ACO. procurement support Ally http://sharepoint/sites/2020ny/bes/1665/_layouts/15/start.aspx#/Document%20Library/Forms/AllItems.aspx?RootFolder=%2Fsites%2F2020ny%2Fbes%2F1665%2FDocument%20Library%2F2%2E%20Plans%2FResource%20Plan&amp;FolderCTID=0x012000DB99E36A31B0464DB8C3FEF751CDB5DA&amp;View=%7BF0FCA131%2D2114%2D46EF%2DA5DE%2D3985FFA38C6E%7D. Wait for Clair Cooper to give go ahead on this. They are trialing the new system currently. Meeting with Wendy Rowley confirmed the 2nd Phase module is going ahead. Gateway 4 to be drafted and sent to PAB by end of Nov. Waiting for confirmations. SIGNED OFF and approved on 06.01.2020. CLOSED </t>
  </si>
  <si>
    <t>DN446754</t>
  </si>
  <si>
    <t>Professional Accounting Taxation Technician Apprenticeship Level 4</t>
  </si>
  <si>
    <t>DN426623
DN449074</t>
  </si>
  <si>
    <t>A study on Natural Capital (Local Industrial Strategy)</t>
  </si>
  <si>
    <t xml:space="preserve">Signed Off. Contracts Register record created. </t>
  </si>
  <si>
    <t>DN409711</t>
  </si>
  <si>
    <t>Domestic abuse - therapeutic services (children)</t>
  </si>
  <si>
    <t xml:space="preserve">Contract fully signed - 3 year saving of £16800.75.
</t>
  </si>
  <si>
    <t>DN200673</t>
  </si>
  <si>
    <t xml:space="preserve">Procurement of Insurance -  Casualty, Motor, Property, Travel/PA and Engineering </t>
  </si>
  <si>
    <t xml:space="preserve">Advised by L Gigante that contract  renewed with all existing insurers on 1st October 2019 thereby extending the contract for a further 2 years. Done under standard supplier T&amp;Cs so no extension document issued. Email saved in file. Contracts Register updated. 
</t>
  </si>
  <si>
    <t>DN425147</t>
  </si>
  <si>
    <r>
      <t>Kofax - Document Manangement Centre scanning/</t>
    </r>
    <r>
      <rPr>
        <b/>
        <sz val="11"/>
        <rFont val="Calibri"/>
        <family val="2"/>
      </rPr>
      <t>ePost</t>
    </r>
    <r>
      <rPr>
        <sz val="11"/>
        <rFont val="Calibri"/>
        <family val="2"/>
      </rPr>
      <t xml:space="preserve"> - Mail Scanning</t>
    </r>
  </si>
  <si>
    <t>Meeting with JM 14/12 - Service Area have signed up with the Supplier for another year and paid the invoice. Update provided to SS</t>
  </si>
  <si>
    <t xml:space="preserve">DN358705 </t>
  </si>
  <si>
    <t>21/01/19 - BVF completed by JM and logged</t>
  </si>
  <si>
    <t>DN425364</t>
  </si>
  <si>
    <r>
      <t>12+</t>
    </r>
    <r>
      <rPr>
        <sz val="11"/>
        <color rgb="FFFF0000"/>
        <rFont val="Calibri"/>
        <family val="2"/>
        <scheme val="minor"/>
      </rPr>
      <t>12</t>
    </r>
    <r>
      <rPr>
        <sz val="11"/>
        <color theme="1"/>
        <rFont val="Calibri"/>
        <family val="2"/>
        <scheme val="minor"/>
      </rPr>
      <t>+12+12+12</t>
    </r>
  </si>
  <si>
    <r>
      <t xml:space="preserve">Spend £1,500 so far - 1 year extension being utilised. Best value form covers until 30/09/2023 </t>
    </r>
    <r>
      <rPr>
        <sz val="11"/>
        <rFont val="Calibri"/>
        <family val="2"/>
      </rPr>
      <t>Published on contracts register.</t>
    </r>
  </si>
  <si>
    <t>DN429741</t>
  </si>
  <si>
    <t>Allerton Waste Recovery Park (AWRP) Landscape Cultural Heritage Fund (LCHF) Grant Administration</t>
  </si>
  <si>
    <r>
      <t>48+</t>
    </r>
    <r>
      <rPr>
        <sz val="11"/>
        <color rgb="FFFF0000"/>
        <rFont val="Calibri"/>
        <family val="2"/>
      </rPr>
      <t>12</t>
    </r>
  </si>
  <si>
    <t xml:space="preserve">Contract uncovered by MG via GDPR process. 6 month extension approved by Two Ridings. Extension agreement written up and forwarded to Lisa Cooper to check over. Singed on Signing Hub and all relevant participants have copies of extension. Completed 30/09/2019 Another 6 month extension has been requested from October to 1st April 2021. Extension agreement pulled together by VM </t>
  </si>
  <si>
    <t>DN413765</t>
  </si>
  <si>
    <t>HR Consultant/Partner Apprenticeship Level 5</t>
  </si>
  <si>
    <t>Contract fully signed off &amp; YORtende/Contract register updated</t>
  </si>
  <si>
    <t>Transport Planning Technician Apprenticeship Level 3</t>
  </si>
  <si>
    <t>Elections Payroll</t>
  </si>
  <si>
    <t>East Riding of Yorkshire Council</t>
  </si>
  <si>
    <t xml:space="preserve"> Dependent upon election schedule </t>
  </si>
  <si>
    <t xml:space="preserve">New SLA renewed for one year. Need to provide 6 months notification for termination </t>
  </si>
  <si>
    <t>DN418006</t>
  </si>
  <si>
    <t>SS Agreed BV approach , BV received a logged combined unix &amp; support for one year £14,279 in total. Completed</t>
  </si>
  <si>
    <r>
      <t>60+12+12+12+12 +</t>
    </r>
    <r>
      <rPr>
        <b/>
        <sz val="11"/>
        <color rgb="FFFF0000"/>
        <rFont val="Calibri"/>
        <family val="2"/>
        <scheme val="minor"/>
      </rPr>
      <t>12</t>
    </r>
    <r>
      <rPr>
        <sz val="11"/>
        <rFont val="Calibri"/>
        <family val="2"/>
        <scheme val="minor"/>
      </rPr>
      <t xml:space="preserve"> </t>
    </r>
  </si>
  <si>
    <t>Dani Reeves/Silas Holland</t>
  </si>
  <si>
    <t>legal resource allocated - JP leaving needs reallocating - requested reallocation. Change on suplier name currently underway with Legal. On signing hub 06/09 Hans has been asked for a Civica contact. VM emailed chased David at Civica for signature 07/10. David Signed. Needs to go to RL. Sent RL overview of contract. RL signed waiting for last signature 11.11.19 This has been verbally agreed by RL and signed off 17.12.2019</t>
  </si>
  <si>
    <t>DN208274</t>
  </si>
  <si>
    <t xml:space="preserve">UTC and UTMC System (SCOOT) Siemens Mobility  </t>
  </si>
  <si>
    <t>Nick Leggott/James Smith/Anna Goldie</t>
  </si>
  <si>
    <t>Extension available for 27/10/19 - 26/10/21 2yrs - Docs sent to NL , NL reviewing as future requirement might differ - possible extension &amp; variation. Forwarded to Stacey for advice 22.10.19. On Signing Hub 8th November 2019. The company had a change of name so a deed of novation was drafted up and sent to Siemens for them to check over by their legal team. It was sent back on 6th Jan 20 with recommendations on so VM sent it to NYCC legal services to look over.Deed Of Novation signed off 06.02.2020. Extension loaded onto Signing Hub 06.02.2020 Chased William Wilson 02/03/2020. Chased Julie on sign off and to check that we have the correct email for William as no responce from him. Just awaiting sign off from Julie. Signed off 31/03/2020</t>
  </si>
  <si>
    <t>DN435527</t>
  </si>
  <si>
    <t>Implementation Partner to Support the Authority’s Oracle Planning and Budgeting Cloud Solution (PBCS)</t>
  </si>
  <si>
    <t>Natalie Coulson (T&amp;C) / Carol Watts (PM)</t>
  </si>
  <si>
    <t>PROJECT COMPLETED
2020 Project ID is 2321.  Direct award via G-Cloud 11 to Evolutionary Systems Co Ltd (Evosys).
One-off piece of work.  End date is 31/08/20 or upon completion of work, whichver is sooner.</t>
  </si>
  <si>
    <t>Arboriculture Asset Management System
(curently Arbortrack, provided by TriNova Systems)</t>
  </si>
  <si>
    <t>01/11/19 - 31/10/22 previously signed off via BVF.
New BVF completed to cover until 31/10/23 as still under £25k.
End date is pre-2024 as there is a PPM Project (Ref: 2271) to upgrade the existing system as the current system is no longer supportable on NYCC devices.</t>
  </si>
  <si>
    <t xml:space="preserve">DN426814 </t>
  </si>
  <si>
    <t>Alcohol Social Campaign</t>
  </si>
  <si>
    <t>Claire Lawrence</t>
  </si>
  <si>
    <t>Awarded to Hitch Marketing 5/12/18.  Contract fully signed.</t>
  </si>
  <si>
    <t>DN205819</t>
  </si>
  <si>
    <t>Anti Virus and Host DPL inc EPO</t>
  </si>
  <si>
    <t>Wendy Rowley</t>
  </si>
  <si>
    <t xml:space="preserve">I have chased this contract several times via signing hub and emailed softcat many times. </t>
  </si>
  <si>
    <t>DN426825</t>
  </si>
  <si>
    <t xml:space="preserve">Catering Traded Service MI System </t>
  </si>
  <si>
    <t>Shaun Mancrief/Lorena Phillips</t>
  </si>
  <si>
    <t>Contract fully signed</t>
  </si>
  <si>
    <t>DN426824</t>
  </si>
  <si>
    <t>Fully signed</t>
  </si>
  <si>
    <t>Direct award</t>
  </si>
  <si>
    <t xml:space="preserve">Direct award, contract has been uploaded onto signing hub this will commence 01  November 2019. </t>
  </si>
  <si>
    <t>Current System Arbortrack - Asset Management</t>
  </si>
  <si>
    <t>Completed - Published on register DN418381</t>
  </si>
  <si>
    <t>DN361605</t>
  </si>
  <si>
    <t>Hevacomp Electrical Designer Licenses</t>
  </si>
  <si>
    <t>Nic Watters/Keren Wild</t>
  </si>
  <si>
    <t>DN420694</t>
  </si>
  <si>
    <t>NBS Package licences</t>
  </si>
  <si>
    <t>Adobe Licences (Schools ICT for Align Property Services)</t>
  </si>
  <si>
    <t>PROJECT COMPLETED
Direct award to Software Box via KCS Framework.
Project alligns to Adobe Licences (Corporate); however, requirements still to be defined.</t>
  </si>
  <si>
    <t>CADS - Masonry Wall Panel Designer license</t>
  </si>
  <si>
    <t>DN445143</t>
  </si>
  <si>
    <t>School Business Professional Level 4</t>
  </si>
  <si>
    <t>DN469936</t>
  </si>
  <si>
    <t>Early Years Educator Apprenticeship</t>
  </si>
  <si>
    <t>Regional Spend analysis tool (Currently Porge)</t>
  </si>
  <si>
    <t xml:space="preserve">Complete </t>
  </si>
  <si>
    <t>DN429710</t>
  </si>
  <si>
    <t>Accessible Minibuses (Purchase)</t>
  </si>
  <si>
    <t>DN542433</t>
  </si>
  <si>
    <t>Glen McCusker never exectued the first 2 years of the framework call off. Call off for 2021-23 executed accordingly.</t>
  </si>
  <si>
    <t>08.11.22 - Sent extension letter to Certas for 1 year to 20/11/23. Sent copy to Andrew Sharpin and Beckie Bennett and Chris Granger</t>
  </si>
  <si>
    <t xml:space="preserve">This has been added to the contracts register. </t>
  </si>
  <si>
    <r>
      <rPr>
        <b/>
        <sz val="11"/>
        <rFont val="Calibri"/>
        <family val="2"/>
        <scheme val="minor"/>
      </rPr>
      <t>Completed -</t>
    </r>
    <r>
      <rPr>
        <sz val="11"/>
        <rFont val="Calibri"/>
        <family val="2"/>
        <scheme val="minor"/>
      </rPr>
      <t xml:space="preserve"> Joint contract with NYFIRE</t>
    </r>
  </si>
  <si>
    <t>AP Forensics - Accounts Payable - new product</t>
  </si>
  <si>
    <t xml:space="preserve">Natalie Coulson </t>
  </si>
  <si>
    <t>LGC EMAPs Subscription (19/20 - 20/21)</t>
  </si>
  <si>
    <t>Invoice sent for payment - completed</t>
  </si>
  <si>
    <r>
      <t>24+</t>
    </r>
    <r>
      <rPr>
        <sz val="11"/>
        <color rgb="FFFF0000"/>
        <rFont val="Calibri"/>
        <family val="2"/>
      </rPr>
      <t>12</t>
    </r>
    <r>
      <rPr>
        <sz val="11"/>
        <rFont val="Calibri"/>
        <family val="2"/>
      </rPr>
      <t>+12</t>
    </r>
  </si>
  <si>
    <t xml:space="preserve">Original contract linked to HMC2012, requirement still required? VM spoke to David Hunt on 29/08 who confirmed to Symology that we will be going ahead with the extension. David to put some wording together for GW4 29/08. Gateway 4 drafted up and sent to DH to check over. Just need to get lifetime cost. 30/09/19 Submitted to PAB 04/10/2019. Recommendation to extend contract by 24 months rather than 12 to coincide with Ringways in house replacement. Approved by PAB 01.11.2019 for 24 months until Nov 2021. On Signing Hub awaiting signatures. SIGNED OFF 05.12.2019 </t>
  </si>
  <si>
    <t>DN461321</t>
  </si>
  <si>
    <t>Cleaning &amp; Catering Apprenticeships</t>
  </si>
  <si>
    <t>Annabel MacGregor / Tracy Harrison</t>
  </si>
  <si>
    <t>DN451213</t>
  </si>
  <si>
    <t>Safety, Health and Environment Technician, Level 3 Apprenticeship</t>
  </si>
  <si>
    <t xml:space="preserve">Citrix - Netscaler </t>
  </si>
  <si>
    <t>Now Citrix ADC Pooled Capacity. Order placed with SBL via KCS.</t>
  </si>
  <si>
    <t>Rapid7 Nexpose Vulnerability Manager software / License</t>
  </si>
  <si>
    <t>BVF received. Completed.</t>
  </si>
  <si>
    <t>Citrix - XenDesktop Enterprise (software assurance and support)</t>
  </si>
  <si>
    <t>Quote from SBL. Gateway to recommend direct award to Softcat via KCS Framework.</t>
  </si>
  <si>
    <t xml:space="preserve">Pension Fund Custodian </t>
  </si>
  <si>
    <t>Amanda Alderson and Jonathan Buxton</t>
  </si>
  <si>
    <t>FY2021Q2</t>
  </si>
  <si>
    <t xml:space="preserve">Final ly signed off after working through amendment to clauses with legal. Added to contracts register. </t>
  </si>
  <si>
    <t>Appsense - Desktop Now (support only)</t>
  </si>
  <si>
    <t>Service Management System (Currently LANDesk - Epic/Ivanti, Sunrise and Sunrise support)</t>
  </si>
  <si>
    <t>Silas Holland (T&amp;C) / Wendy Rowley (PM)</t>
  </si>
  <si>
    <t>PROJECT COMPLETED
Contract awarded to Ultima (Ivanti is main sub-contractor) via open procedure
Notification to extend shall be not less than 3 months before expiry of contract</t>
  </si>
  <si>
    <t>£123,147.82 (Year 1)
£52,526.23 (Year 2+)</t>
  </si>
  <si>
    <t>DN430313</t>
  </si>
  <si>
    <t>Coroners Software - (Currently Iris)</t>
  </si>
  <si>
    <t>G Cloud 11 used to award to WPC.  Max 4 years. Contract fully signed.  Contract register updated.</t>
  </si>
  <si>
    <t>DN368758</t>
  </si>
  <si>
    <t>48+48+24</t>
  </si>
  <si>
    <t>Pension Administration System - (Currently ALTAIR) (NYPF Pension Service Review)</t>
  </si>
  <si>
    <t>Phillipa Cockeril/Jo Wade /Nick Leggott</t>
  </si>
  <si>
    <t>DN421761</t>
  </si>
  <si>
    <t>Microsoft  - Enterprise subscription 6 (split into 4/5 areas)
1.End User Office and Windows Licencing (£1.1m) Gordon Atkin
2.ECI agreement  (£173k) Steve Caisley
3.Skype for Business (£53k) Andrew Lambert
4.EES - Academic (non schools) (£75k) Gordon Atkin
5. EES - Academic (non schools agreement) (£75k) Gordon Atkin</t>
  </si>
  <si>
    <t xml:space="preserve">Gordon Atkin Steve Caisley Andrew Whitaker </t>
  </si>
  <si>
    <t>DN456829</t>
  </si>
  <si>
    <t>DN526913</t>
  </si>
  <si>
    <t>Yortender and contracts register updated.</t>
  </si>
  <si>
    <t>DN457694</t>
  </si>
  <si>
    <t>PROJECT COMPLETED
Direct Award to Neopost (soon to change name to Quadrient) via CCS RM6017 framework.
This contract merges the procurement of additional software required with the original contract for the lease and support and maintenance for contract 'Envelope Inserter and Folding Machine and support and maintenance' which was due to expire in 2021.  This line below on the FPP can also be removed.</t>
  </si>
  <si>
    <t>BV form received from Andrew Lambert.</t>
  </si>
  <si>
    <t>DN511925</t>
  </si>
  <si>
    <t>Career Development Professional, Level 6 Apprenticeship</t>
  </si>
  <si>
    <t>Contract signed, YORtender &amp; contracts register records updated.</t>
  </si>
  <si>
    <t>Community Based Speech and Language Therapist (champions)</t>
  </si>
  <si>
    <t>Completed - extension and variation signed on signinghub</t>
  </si>
  <si>
    <t>DN462168</t>
  </si>
  <si>
    <r>
      <t>6+</t>
    </r>
    <r>
      <rPr>
        <sz val="11"/>
        <color rgb="FFFF0000"/>
        <rFont val="Calibri"/>
        <family val="2"/>
        <scheme val="minor"/>
      </rPr>
      <t>6</t>
    </r>
  </si>
  <si>
    <t>Katie thinks this has been done? This final extension was put in place until October 2020</t>
  </si>
  <si>
    <t>DN220073</t>
  </si>
  <si>
    <t xml:space="preserve">Lincoln Sargeant / Victoria Ononeze </t>
  </si>
  <si>
    <t>HAS say did extension in Dec 2019 - awaiting further details of length of extesion and copy of the document</t>
  </si>
  <si>
    <t>m</t>
  </si>
  <si>
    <t>Unified Communications</t>
  </si>
  <si>
    <t>DN469492</t>
  </si>
  <si>
    <t xml:space="preserve">Contract Hire of Accessible MVP's </t>
  </si>
  <si>
    <t xml:space="preserve">Contract not awarded. </t>
  </si>
  <si>
    <t>DN454467</t>
  </si>
  <si>
    <t xml:space="preserve">Purchase of Accessible MVP's </t>
  </si>
  <si>
    <t>Contract not awarded, spec being reviewed with a view to conducting another further comp asap.</t>
  </si>
  <si>
    <t>DN454456</t>
  </si>
  <si>
    <t xml:space="preserve">No bids through this Lot. Completed. </t>
  </si>
  <si>
    <r>
      <t>12+</t>
    </r>
    <r>
      <rPr>
        <sz val="11"/>
        <color rgb="FFFF0000"/>
        <rFont val="Calibri"/>
        <family val="2"/>
      </rPr>
      <t>12</t>
    </r>
    <r>
      <rPr>
        <sz val="11"/>
        <rFont val="Calibri"/>
        <family val="2"/>
      </rPr>
      <t>+12</t>
    </r>
  </si>
  <si>
    <t>Louise W sent to Emily Asquith-Fox to find out more information from the service re the 12 month extension. 03/10 To be confirmed by December. Louise Woodward confirmed 05.11.19 Invoice for 20/21 paid Dec 2019. VM emailed Holly to find out if we can just confirm extension via letter 07.01.2020 No extension document required for this. 3 year rolling contract paid for annaully. Holly from Angel confirmed payment for 20/21 in October 2019. No documentation needed. 08.01.2020</t>
  </si>
  <si>
    <t>DN458758</t>
  </si>
  <si>
    <t>42 months</t>
  </si>
  <si>
    <t>Louise Wood</t>
  </si>
  <si>
    <t>Signed supplier T&amp;C's. Louise informed that Dale had advised this</t>
  </si>
  <si>
    <t xml:space="preserve">BVF received. </t>
  </si>
  <si>
    <r>
      <t xml:space="preserve">Support and Maintenance case management system for ALL (2020-2023)
- EHM (formally Ecaf)
- LLA/LAS (contrOCC) Adults
- ContrOCC Children's
</t>
    </r>
    <r>
      <rPr>
        <i/>
        <sz val="11"/>
        <rFont val="Calibri"/>
        <family val="2"/>
        <scheme val="minor"/>
      </rPr>
      <t>- Servelec (previously Tribal/Synergy)
- MeLearning (sits as a separate contract but needs to be included) has a row on the FPP.
- Careworks and Aspire (separate rows on FPP)
(2020 Porject reference 2078 – Signs of Safety inc as part of the Liquid Logic Quote) 
(additional project to add Transfers of Care digital project - different project manager Kayleigh Thompson £35k + £7k maint - approach will be a variation)</t>
    </r>
  </si>
  <si>
    <t>Jackie Ridley/Lorena Phillips/Michelle Bellwood</t>
  </si>
  <si>
    <r>
      <t xml:space="preserve">PO Sent to Softcat , approved and processed </t>
    </r>
    <r>
      <rPr>
        <b/>
        <sz val="11"/>
        <rFont val="Calibri"/>
        <family val="2"/>
        <scheme val="minor"/>
      </rPr>
      <t>COMPLETED - on contracts register</t>
    </r>
  </si>
  <si>
    <t>Education &amp; Social Care Systems</t>
  </si>
  <si>
    <t>Harrogate Smart Parking (PMO 3019)</t>
  </si>
  <si>
    <r>
      <t>18</t>
    </r>
    <r>
      <rPr>
        <sz val="11"/>
        <color rgb="FFFF0000"/>
        <rFont val="Calibri"/>
        <family val="2"/>
        <scheme val="minor"/>
      </rPr>
      <t>+18</t>
    </r>
  </si>
  <si>
    <t>Waiver approved</t>
  </si>
  <si>
    <t>T and C 
(Miscellaneous)</t>
  </si>
  <si>
    <t>DN244059</t>
  </si>
  <si>
    <t>Salary Finance Ltd (Formally Neyber)  Financial Wellbeing Service</t>
  </si>
  <si>
    <t>Initial period 01/07/2017 to 30/06/2020, with 24 month extension from 01/07/2020 to 30/06/2022. Contract suggests extension to start 1st April 2020 - 31st March 2022. Emailed Kim Trenholme. Kim happy to proceed with the extension. Chased Kim 06.03.2020 Extension agreement pulled together and sent to Kim. Dates changed on FPP too to match contract. Queried cost of contract to Kim. Justine Brooksbank to sign off. Change of name due to company being bought out. Deed of Novation with Legal- Extension complete and ready to load from CM when deed of novation comes back from Legal. Chased Kim T. Kim has a meeting in with Neyber 8th April Chase her after this. Kim to chase this after phone call with John. Still waiting to hear back from Legal re this. Kim has chased them. Chased Kim again for updates on DON. Chased Alice for deed of novation confirmation and who would sign it off.  antony.broadbent@salaryfinance.com to sign off. Chased Alice for update on DON. Alice confirmed she had recieved it today and sent it for signature. She will let me know once it has been signed so I can send the extension. Alice confirmed she is happy with the extension so getting mark to sign it at their end and then emailing it through to go on signing hub. Signed and completed</t>
  </si>
  <si>
    <t>DN491489</t>
  </si>
  <si>
    <t xml:space="preserve">The record is added to Contracts register.  DR Process complete. </t>
  </si>
  <si>
    <t xml:space="preserve">DR Approved.  </t>
  </si>
  <si>
    <t>DN473657</t>
  </si>
  <si>
    <t>Cloud Backup Service for Schools</t>
  </si>
  <si>
    <t>T and C 
(School's ICT)</t>
  </si>
  <si>
    <t xml:space="preserve">DN484449 </t>
  </si>
  <si>
    <t xml:space="preserve">DN454162 </t>
  </si>
  <si>
    <t>FY2021Q1</t>
  </si>
  <si>
    <t>COMPLETE
Contract full signed (31/07/2020), Contract uploaded onto YORtender
YORtender - contracts register updated, OJEU CAN complete</t>
  </si>
  <si>
    <t>Grounds Maintenance Contract  (Corporate Only) - Area 3&amp;4 Harrogate/Craven and Selby</t>
  </si>
  <si>
    <t xml:space="preserve">Signed off and on Contracts Finder. </t>
  </si>
  <si>
    <t>Contracts to be uploaded via Signinghub</t>
  </si>
  <si>
    <t>DN531654</t>
  </si>
  <si>
    <t>Service Information System
(currently South Yorkshire Information System, provided by South Yorkshire Passenger Transport Executive)</t>
  </si>
  <si>
    <t>Best Value Form completed, initially for 01/01/20 - 31/03/21.  It was agreed with legal to amend the term to 01/04/20 - 31/03/21.  
New project has been setup for replacement with new line on FPP - Bus Service Registration, Publicity and NaPTAN Data System (2020 PMO Ref: 3023).</t>
  </si>
  <si>
    <t>Best Value Form received on 27 September 2017</t>
  </si>
  <si>
    <t>Signed off - collaboration agreement with HDFT.</t>
  </si>
  <si>
    <t>DN351973</t>
  </si>
  <si>
    <t>Integrated HR &amp; Payroll Managed Service (Currently Zellis)</t>
  </si>
  <si>
    <r>
      <t>96+</t>
    </r>
    <r>
      <rPr>
        <sz val="11"/>
        <color rgb="FFFF0000"/>
        <rFont val="Calibri"/>
        <family val="2"/>
        <scheme val="minor"/>
      </rPr>
      <t>24</t>
    </r>
  </si>
  <si>
    <t>Finance &amp; HR Systems</t>
  </si>
  <si>
    <t>DN437410</t>
  </si>
  <si>
    <t xml:space="preserve">Provision of Support Services to the North Yorkshire Parents and Carers together (NYPACT) </t>
  </si>
  <si>
    <t>Complete procurement exercise - was unsuccessful.  Completed direct award to Community First Yorkshire on behalf of Parent Carer Voice.</t>
  </si>
  <si>
    <t xml:space="preserve">DN432378 </t>
  </si>
  <si>
    <t xml:space="preserve">LCS/ EHM MeLearning 
LLA MeLearning </t>
  </si>
  <si>
    <t>Jackie Ridley/Lorena Phillips</t>
  </si>
  <si>
    <t>on signinghub awaiting signature.
Direct award to TEWV.  Initial term 3 year - April 2020- March 2023 with option to extend for 2 further periods of 12 months - i.e. April 2023 - March 2024 and April 2024 - March 2025.</t>
  </si>
  <si>
    <t>DN471869</t>
  </si>
  <si>
    <t>Education case management - Servelec (previously Tribal/Synergy) Project Kairos 2020-2023</t>
  </si>
  <si>
    <t>Contract Signed, YORtender updated. Project Complete!</t>
  </si>
  <si>
    <t>Total spend to date £10,865.45 since 14/15. Total for 18/19 £1115.00. Best Value form covers until 31/03/2021.</t>
  </si>
  <si>
    <t xml:space="preserve">DN419044 </t>
  </si>
  <si>
    <t>Completed - Variation signed off via signing hub today, KL sent AR email to advise. AR intends to exten thre contract in another year once this is due (01/04/2020)</t>
  </si>
  <si>
    <t xml:space="preserve">
DN326185</t>
  </si>
  <si>
    <t>Project Management Tool (currently Project Vision)</t>
  </si>
  <si>
    <r>
      <t>AD- Signed off &amp; complete saved in folder - updated CR -</t>
    </r>
    <r>
      <rPr>
        <b/>
        <sz val="11"/>
        <rFont val="Calibri"/>
        <family val="2"/>
        <scheme val="minor"/>
      </rPr>
      <t xml:space="preserve"> completed</t>
    </r>
  </si>
  <si>
    <t>DN473981</t>
  </si>
  <si>
    <t>Shaun Mancrief / Kirsten Dixon</t>
  </si>
  <si>
    <t>DN419304</t>
  </si>
  <si>
    <t>Dave Handson</t>
  </si>
  <si>
    <t>Project Completed
Contract Award Notice published and YORtender updated. Requested copy of contract from service area once signed/sealed for our records.</t>
  </si>
  <si>
    <t>Ritch Bain / Jonathon Miller</t>
  </si>
  <si>
    <r>
      <t>Agreed with SS additional 12 months to be raised direct with civica additional £60K for 12 months if it was raised via the DAS framework . Agreement with Nick L that a full procurement process must be done for 2021 onwards- Ritch to raise PO/NL putting project in place  -</t>
    </r>
    <r>
      <rPr>
        <b/>
        <sz val="11"/>
        <rFont val="Calibri"/>
        <family val="2"/>
      </rPr>
      <t xml:space="preserve"> Complete</t>
    </r>
  </si>
  <si>
    <t>Traded Service Online Communications Platform
(currently SLA Online - provided by Frontline Data)</t>
  </si>
  <si>
    <t>PROJECT COMPLETED
Contract in place since 2013.  Waiver approved on 28/01 for an additional 12 month extension.  Decision Record sent on 03/03.  Project will be sent through shortly via Emily for re-procurement.</t>
  </si>
  <si>
    <t>DN470316</t>
  </si>
  <si>
    <t>Case Management System - Aspire (Project Kairos)</t>
  </si>
  <si>
    <t xml:space="preserve">awaiting extension doc from HAS
Gateway 4 approved by PAB 21/12/2018 for one year - to 31st March 2020.  Further extension of 1 year to 31st March 2021 available. 
Looking at possibility of including within Healthy Child Programme due to be in place in March 2020 but this is very early days.
Extension for 4 months only as HDFT no longer wish to deliver service.
Epidemiology aspect was due to be included in a NHSE procurement but the procurement failed and subsequently the epidemiology was removed from the specification.  </t>
  </si>
  <si>
    <t>Mental Health Support Line</t>
  </si>
  <si>
    <t>18+12</t>
  </si>
  <si>
    <t>Stacey Annandale</t>
  </si>
  <si>
    <t>under threshold - HAS will let me know once done the variation/extension</t>
  </si>
  <si>
    <t>DN418665</t>
  </si>
  <si>
    <t>Craven, Ryedale and Miscellaneous - Home to School Transport &amp; Local Bus Services</t>
  </si>
  <si>
    <t>£5,081,529 (H2S)
£978,274 (LBS)</t>
  </si>
  <si>
    <t>Supported lodgings for UASC (unaccompanied asylum seeking children)</t>
  </si>
  <si>
    <t>12+24</t>
  </si>
  <si>
    <t xml:space="preserve">Extension is signed and completed .
</t>
  </si>
  <si>
    <t>Supporting People Countywide Emergency &amp; Extended Supported Lodgings (SASH)</t>
  </si>
  <si>
    <t xml:space="preserve">Extension is signed and completed </t>
  </si>
  <si>
    <t>Winter Heating - Air Source Heat Pumps</t>
  </si>
  <si>
    <r>
      <t xml:space="preserve">Contract signed and sealed - sent out to supplier - </t>
    </r>
    <r>
      <rPr>
        <b/>
        <sz val="11"/>
        <rFont val="Calibri"/>
        <family val="2"/>
        <scheme val="minor"/>
      </rPr>
      <t xml:space="preserve">Completed </t>
    </r>
  </si>
  <si>
    <t>Winter Heating - Warm Homes Scheme Boiler Installation</t>
  </si>
  <si>
    <t>£268,000 + £248638</t>
  </si>
  <si>
    <r>
      <t xml:space="preserve">contract signed </t>
    </r>
    <r>
      <rPr>
        <b/>
        <sz val="11"/>
        <rFont val="Calibri"/>
        <family val="2"/>
        <scheme val="minor"/>
      </rPr>
      <t>-Completed</t>
    </r>
  </si>
  <si>
    <t>Key decision 6/12/19. PAB 29/11/19.  Contract written and complete. Move to completed</t>
  </si>
  <si>
    <t>DN434223</t>
  </si>
  <si>
    <t xml:space="preserve">Smoking Cessation System - Quit Manager </t>
  </si>
  <si>
    <t>Yr1 conducted via Best Value form. Louise Woodward confirmed they are happy to proceed with extension. Email supplier as per the best value form. VM 07/10/2019</t>
  </si>
  <si>
    <t>DN451445</t>
  </si>
  <si>
    <t>Margaret Boustead/Nick Leggott</t>
  </si>
  <si>
    <t xml:space="preserve">Awarded through BV form. Added to Contracts Register. </t>
  </si>
  <si>
    <r>
      <t>12+</t>
    </r>
    <r>
      <rPr>
        <sz val="11"/>
        <color rgb="FFFF0000"/>
        <rFont val="Calibri"/>
        <family val="2"/>
        <scheme val="minor"/>
      </rPr>
      <t>12</t>
    </r>
    <r>
      <rPr>
        <sz val="11"/>
        <color theme="1"/>
        <rFont val="Calibri"/>
        <family val="2"/>
        <scheme val="minor"/>
      </rPr>
      <t>+12+12</t>
    </r>
  </si>
  <si>
    <t>Link in with Ally - Direct award under G Cloud. Emailed Jen and Nick on 11.11.19 to confirm they are happy to proceed with this provider. G-Cloud document pulled together and put on signing hub 19th December for Judith Kirk to sign off. Waiting for Helen from Aspire to confirm costs again. Jen and Julie agreed the prices. Helen Robinson amened some of the wording and sent back. 28.02.2020 Checked and back on Signing Hub 05/03/2020 Helen unable to access the system so VM had to re-submit the document to see if she could access it via the link. Completed and signed off 20.03.2020</t>
  </si>
  <si>
    <t>DN456910</t>
  </si>
  <si>
    <t xml:space="preserve">Completed and published on Contract Register. </t>
  </si>
  <si>
    <t xml:space="preserve">Completed. Included on Contracts Register.  </t>
  </si>
  <si>
    <t>HR Training. Emailed Anna Rea on 14.01 to let her know about 12 month extension. Wait for her to come back and draft up agreement. Emailed Clare Nowell on 14.01 to find out if the annual fee will stay the same and who will sign it off at their end. 20,000 lives. On signing hub 16.01.2020 SIGNED OFF 04.02.2020</t>
  </si>
  <si>
    <t>Contract sent via signinghub</t>
  </si>
  <si>
    <t xml:space="preserve">Agreed with Stacey (13/8) that because spend on Oracle going back to 2015/16 is £18,304.06 that IPT can continue to purchase from BraunAbility directly until the value exceeds £25,000. Best Value Form completed. BraunAbility weren't on any public procurement frameworks, however, CCS RM3814 Vehicle Conversions DPS has a number of providers that BraunAbility supply to. </t>
  </si>
  <si>
    <t>circa £3500</t>
  </si>
  <si>
    <t>DN468721</t>
  </si>
  <si>
    <t>Adobe Licences (Corporate)</t>
  </si>
  <si>
    <t>Completed
Links to Adobe Licences (Schools ICT for Align Property Services) which is also complete.
Run under CCS aggregation exercise.  Contract value is based on minimum level of spend with supplier but there is the option to add additional licenses throughout the term.</t>
  </si>
  <si>
    <t>Corporate Systems</t>
  </si>
  <si>
    <t>Previously Best value form submitted by Gavin. Scope for further extensions within best value threshold. Speak to John Leroyd.  Sent BVF to Andrew Lambert 27.01.2020. Chased Andrew on 19.02.2020. Andrew going straight through framework. He will let me know when this has been completed. Andrew chased this. Chased Andrew for renewal pricing. Chased again. Completed- Andy pulled together the renewal. Renewed at a cost of £3895.24.</t>
  </si>
  <si>
    <t>BV previous completed for this - as below, this may be incorporated into the 2 factor authentication.</t>
  </si>
  <si>
    <t>DN456328</t>
  </si>
  <si>
    <r>
      <t>Current contract 2+1+1 years, via Gcloud with Affinitext - Good to go ahead with the extension. Confirmation from Suzanne on 13.11.2019 Silas and Suzanne confirmed they would like to proceed with 24 month extension. G Cloud document pulled together and put on signing hub 08.01.2020 Account meeting with Jem on 28.01.2020 queried why extension agreement wasn't signed off on their end. Jem checking with Graham. Reminder sent to Jem 03.02.2020 - Email sent to Jem following up on Graham signing off the document. Signed by Jem Fennel 13.02.2020 waiting for Silas to sign off - Changed from a 24 month term to 2x12 month terms and resubmitted on our NYCC extension agreement rather than the G-Cloud Call-Off document. NYCC extension agreement put onto Signing Hub for Andy J to sign 06/03/2020. Sent reminders for this 30.03.2020</t>
    </r>
    <r>
      <rPr>
        <b/>
        <sz val="11"/>
        <rFont val="Calibri"/>
        <family val="2"/>
        <scheme val="minor"/>
      </rPr>
      <t xml:space="preserve"> SIGNED AND COMPLETED 30.03.2020</t>
    </r>
  </si>
  <si>
    <t>£778pa</t>
  </si>
  <si>
    <t xml:space="preserve">Received best value. </t>
  </si>
  <si>
    <t>DN495922</t>
  </si>
  <si>
    <r>
      <t>Pensioner Payroll Reconciliation - [</t>
    </r>
    <r>
      <rPr>
        <b/>
        <sz val="11"/>
        <color theme="1"/>
        <rFont val="Arial"/>
        <family val="2"/>
      </rPr>
      <t>Phase 2</t>
    </r>
    <r>
      <rPr>
        <sz val="11"/>
        <color theme="1"/>
        <rFont val="Arial"/>
        <family val="2"/>
      </rPr>
      <t xml:space="preserve">] </t>
    </r>
  </si>
  <si>
    <t>3+3</t>
  </si>
  <si>
    <t xml:space="preserve">T&amp;Cs signed and in file. On Contracts Register. </t>
  </si>
  <si>
    <t>DN483340</t>
  </si>
  <si>
    <t>Web-based Secure File Transfer System for Early Year Provider Data
(currently AnyComms Plus, provided by AVCO Systems)</t>
  </si>
  <si>
    <t>PROJECT COMPLETED
Extended contract via Covid-19 extension.  Previous award was via Best Value Form.
This is not a rolling contract and will need procuring at end of current contract although T&amp;C plan to review potential future in-house options.</t>
  </si>
  <si>
    <t>DN480384</t>
  </si>
  <si>
    <t>DN322836</t>
  </si>
  <si>
    <t>Occupational Health Management System</t>
  </si>
  <si>
    <t>Anna Rea/ Nick Leggott</t>
  </si>
  <si>
    <t>First/only extension. To be assigned to ACO. Procurement Link Graham. Emailed Anna Rea on this. Nick L to find out who leads this in systems. Pull together agreement and immediately start on plan for post June 2021. Anna Rea confirmed 36 month term including extension period was paid for in full at the beginning. Emailed Ann Scaife on 02.03.2020. Chased the email 13.03.2020 -Gemma from Warwick confirmed there has been a change in company name and number so a DON is now needed. Sent this to Anna Rae and Legal. Legal to draft up DON and send to VM. VM completed legal instruction form and sent back to Anna Rea 17.03.2020 Emailed Anna 30.03.2020 to find out when she sent the legal request form. Anna R has still not sent the legal form. Filled it out for her and asked her to send it asap. Natalie C sent the request form on Annas behalf. Chased Natalie and emailed Ann Sacrif to find out who would sign it off at Warwick. Natalie confirmed that legal have the deed of novation. Waiting to hear back from them. Richard Conner looking into PO and invoice. PO's sent to Warwrick from Roybn. Richard Connor confirmed with Ann. Chased Natalie to see if DON has been sent directly to Warwick. Mark Shaw presigned the novation agreement. Loaded onto Signing Hub 01/06. Extension put on signing hub for Andrew Jarvis. Catch up with Natalie re why this was only extended for one year. Andy now to sign</t>
  </si>
  <si>
    <t>First Year Cost:
£35,193.00
Year 2 &amp; 3 Total:
£21,965.00</t>
  </si>
  <si>
    <r>
      <t>12+</t>
    </r>
    <r>
      <rPr>
        <sz val="11"/>
        <color rgb="FFFF0000"/>
        <rFont val="Calibri"/>
        <family val="2"/>
        <scheme val="minor"/>
      </rPr>
      <t>9</t>
    </r>
    <r>
      <rPr>
        <sz val="11"/>
        <rFont val="Calibri"/>
        <family val="2"/>
        <scheme val="minor"/>
      </rPr>
      <t>+12</t>
    </r>
  </si>
  <si>
    <t>Kendra Nell / Kirstie Paterson</t>
  </si>
  <si>
    <t>OTE to 26 Feb 2021 approved by PAB 01/05/20.  There is a further opportunity to extend to 26 Feb 2022 (see line 139).  KN would like to review options in a few months time.
Contract extension fully signed 25/06/20</t>
  </si>
  <si>
    <t xml:space="preserve">DN481622 </t>
  </si>
  <si>
    <t>Supervision support contract A1 Junction 47 Improvement
(Provision of A1(M) J47 Construction Phase Support Services)</t>
  </si>
  <si>
    <t>Ken Moody (Starts mid-July)</t>
  </si>
  <si>
    <t>COMPLETE
Contract Signed, YORtender updated</t>
  </si>
  <si>
    <t>N/A (One off Project)</t>
  </si>
  <si>
    <t>Domestic Abuse Accommodation-based Support Services</t>
  </si>
  <si>
    <t>Qtr 1 - 2020/21</t>
  </si>
  <si>
    <t>Director's Recommendation approved 10/07/2020.
Marion Sadler completed Decision Record. 
Contract signed</t>
  </si>
  <si>
    <t>E Governance Software to enable the management of the generation and publication of agendas to be handled entirely electronically (Currently Weblabs)</t>
  </si>
  <si>
    <t>26+12+12</t>
  </si>
  <si>
    <t>Carol Watts / Daniel Harry / Silas Holland / Karen Wilson</t>
  </si>
  <si>
    <t>Contract signed. Commencement date 31/01/20, go-live date 01/06/2020.</t>
  </si>
  <si>
    <t>Becky Naisbitt / Kendra Nell</t>
  </si>
  <si>
    <r>
      <rPr>
        <sz val="11"/>
        <color rgb="FFFF0000"/>
        <rFont val="Calibri"/>
        <family val="2"/>
      </rPr>
      <t>24</t>
    </r>
    <r>
      <rPr>
        <sz val="11"/>
        <rFont val="Calibri"/>
        <family val="2"/>
      </rPr>
      <t>+24</t>
    </r>
  </si>
  <si>
    <t>NFA until Jan 22.</t>
  </si>
  <si>
    <t>DN521408</t>
  </si>
  <si>
    <t xml:space="preserve">John Law sent SLA through, presume on suppliers terms. </t>
  </si>
  <si>
    <t>Approved.</t>
  </si>
  <si>
    <t>Contract variation completed</t>
  </si>
  <si>
    <t>SPS Doorguard - Out of Hours telephone and Carers Card</t>
  </si>
  <si>
    <t>Adam Gray</t>
  </si>
  <si>
    <t>Qtr 2 - 2020/21</t>
  </si>
  <si>
    <t xml:space="preserve">DN399720 </t>
  </si>
  <si>
    <t>IntentioInkspotwifi Limitedn to award issued</t>
  </si>
  <si>
    <t xml:space="preserve">Craig Nattress </t>
  </si>
  <si>
    <t>PPE</t>
  </si>
  <si>
    <t>PPE (currently NEPO)</t>
  </si>
  <si>
    <t>Graham Millichap / Amanda Manifield</t>
  </si>
  <si>
    <t>KL taking this forward under Covid-19 special variation / extension.
NEPO framework due to end 31 July 2020 - Shona MacDaid from South Tyneside has advised that the framework will probably be extended to September 2020.</t>
  </si>
  <si>
    <r>
      <t>36+24+</t>
    </r>
    <r>
      <rPr>
        <sz val="11"/>
        <color rgb="FFFF0000"/>
        <rFont val="Calibri"/>
        <family val="2"/>
        <scheme val="minor"/>
      </rPr>
      <t>24</t>
    </r>
  </si>
  <si>
    <t>Lorena Phillips / Chrys Mellor</t>
  </si>
  <si>
    <t xml:space="preserve">Extension approved by PAB 06/09/2019. Was sent to Capitas Legal department on 20th Sep. Added to Signing Hub 04.10.2019. Completed and Signed off 14.10.2019 </t>
  </si>
  <si>
    <t xml:space="preserve">DN412934 </t>
  </si>
  <si>
    <t xml:space="preserve">Nikki Joyce </t>
  </si>
  <si>
    <t>DN490115</t>
  </si>
  <si>
    <t>Transcription of Council Meetings</t>
  </si>
  <si>
    <t>ITL North East Ltd</t>
  </si>
  <si>
    <t>Simon Copley</t>
  </si>
  <si>
    <t>Direct award via CCS framework as lowest rate supplier that can meet requirements</t>
  </si>
  <si>
    <t>12 month extension taken Direct award via CCS framework as lowest rate supplier that can meet requirements</t>
  </si>
  <si>
    <r>
      <t>12+</t>
    </r>
    <r>
      <rPr>
        <sz val="11"/>
        <color rgb="FFFF0000"/>
        <rFont val="Calibri"/>
        <family val="2"/>
        <scheme val="minor"/>
      </rPr>
      <t>12</t>
    </r>
    <r>
      <rPr>
        <sz val="11"/>
        <color theme="1"/>
        <rFont val="Calibri"/>
        <family val="2"/>
        <scheme val="minor"/>
      </rPr>
      <t>+12</t>
    </r>
  </si>
  <si>
    <t>Email sent to Nicola requesting meeting. No further information on this yet. Emailed Matt Hunter to find out more. Extension document pulled together referencing G-Cloud Call-Off original contract 2019. Chased Matt Hunter 13.03.2020. Contact Nimbus for potential reduced rates re licencing. Chased but this may have to just be extended. G-Cloud document on signing hub. Signed and completed 23.04.2020</t>
  </si>
  <si>
    <t>DN494406</t>
  </si>
  <si>
    <t>Recruitment Admin System (DBS Functionality)
(currently provided by Oleeo)</t>
  </si>
  <si>
    <t>PROJECT COMPLETED
Links to main Recruitment Admin system and HR Payroll; however, this project is solely for the DBS functionality.  Direct awarding to existing supplier via G-Cloud 11.</t>
  </si>
  <si>
    <t>60+24+24+12</t>
  </si>
  <si>
    <t>Phillipa Cockerill/Jo Wade/ Nick Leggott</t>
  </si>
  <si>
    <t>DN333232</t>
  </si>
  <si>
    <t>Lot 2 Leadership &amp; Management Apprenticeships</t>
  </si>
  <si>
    <t>Contract signed off. Schools contract NFA required.</t>
  </si>
  <si>
    <t>DN494907</t>
  </si>
  <si>
    <t>EDRMS (Electronic Document and Records Management System)
(currently Wisdom, provided by Daisy)</t>
  </si>
  <si>
    <t>PROJECT COMPLETED
New line has not been added yet.</t>
  </si>
  <si>
    <t>T and C 
(Business)</t>
  </si>
  <si>
    <r>
      <t>24+12+</t>
    </r>
    <r>
      <rPr>
        <sz val="11"/>
        <color theme="1"/>
        <rFont val="Calibri"/>
        <family val="2"/>
        <scheme val="minor"/>
      </rPr>
      <t>12</t>
    </r>
    <r>
      <rPr>
        <sz val="11"/>
        <rFont val="Calibri"/>
        <family val="2"/>
        <scheme val="minor"/>
      </rPr>
      <t>+</t>
    </r>
    <r>
      <rPr>
        <sz val="11"/>
        <color theme="1"/>
        <rFont val="Calibri"/>
        <family val="2"/>
        <scheme val="minor"/>
      </rPr>
      <t>12</t>
    </r>
    <r>
      <rPr>
        <sz val="11"/>
        <rFont val="Calibri"/>
        <family val="2"/>
        <scheme val="minor"/>
      </rPr>
      <t>+</t>
    </r>
    <r>
      <rPr>
        <sz val="11"/>
        <color rgb="FFFF0000"/>
        <rFont val="Calibri"/>
        <family val="2"/>
        <scheme val="minor"/>
      </rPr>
      <t>12</t>
    </r>
    <r>
      <rPr>
        <sz val="11"/>
        <rFont val="Calibri"/>
        <family val="2"/>
        <scheme val="minor"/>
      </rPr>
      <t>+12</t>
    </r>
  </si>
  <si>
    <t>£4,999 pa</t>
  </si>
  <si>
    <t xml:space="preserve">Clsoed </t>
  </si>
  <si>
    <t>Contract has been extended from 1st September 2019 till 31st August 2020 £4999.00. Contract has been fully signed off.  Contact made with Lorena 06.02.2020 Chased Louise 05/03/2020 - Yortender "Web based educational visits" states different end dates. LW emailed Adrian Clarke re extension. AC happy to continue with extension. VM to load extension onto Signing Hub July/August 2020. All drafted up. Waiting to hear who would sign it off for NYCC. GDPR wording to be added in variation and checked off with legal before sign off. Sent to legal 14.07.2020  GDPR wording sat with Gemma at Legal. New GDPR  wording send to Lauren at eduFocus to review before signing off and getting the extension signed off. Variation and Extension sent over to Lauren to review. Need names of signatories. Chased Lauren again. These need to go onto Signing Hub as soon as possible. Delay at supplier end. Variation still under review with the supplier. VM emailed the extension document to be reviewed to get this signed off asap whilst we discuss GDPR wording. Extension document on signing hub 02.11.20 SIGNED OFF 04.11.20</t>
  </si>
  <si>
    <t>Link in with Graham - Shaun confirmed he would like to go ahead with the 12 month extension. GW4 Drafted up. Meet with Shaun/ Graham F. Meeting in place 27/02/2020. Sent draft gateway 4 to Graham F to look over and add to.  GF currently working on two tenders and will look at the gateway when he can. Chased this with Graham Foxton. Meeting in place 18th June. Works on Fretwell suspended. Want to extend for 24 months. GW drafted and sent to Graham and Shaun. Need more wording on parent pay and waiting for figures to come back for potentail reductions. Inflation? Chased Graham and Shaun. Shaun haggling with Cypad over price. Stacey Added comments. Chased Karl 25.09.2020 Chased Karl 15.10 Chased Karl again 27th Oct. Karl mentioned he has some questions around the contract and that he has been in touch with Shaun. Emailed Shaun. Put on signing hub 02.11. SIGNED OFF ON SIGNING HUB</t>
  </si>
  <si>
    <t>DN496776</t>
  </si>
  <si>
    <t>Procurement Apprenticeships Level 3 &amp; 4</t>
  </si>
  <si>
    <t>Director recommendation signed off however the apprenticeships are no longer required with this provider and/or they are unable to fulfill the requirement. YORtender record archived</t>
  </si>
  <si>
    <t>PMO 2020 - 2298 - Purchasing of AV1’s</t>
  </si>
  <si>
    <t>Sarah Fawcett</t>
  </si>
  <si>
    <t xml:space="preserve">Directors Recommendation utilised as a specialist supplier. 
Completed. </t>
  </si>
  <si>
    <t>DN515137</t>
  </si>
  <si>
    <t>PMO 2020 - 2298 - SEND Medical Tuition Model</t>
  </si>
  <si>
    <t>Best Value Form used for Academy 21 whilst likely demand is determined. Procurement to be undertaken once we have a clearer picture of demand. 
Contract signed off. YORtender account created and updated</t>
  </si>
  <si>
    <t>DN495597</t>
  </si>
  <si>
    <t>Associated Project Manager Level 4 Apprenticeship</t>
  </si>
  <si>
    <t>Direct</t>
  </si>
  <si>
    <t>Contract signed off, YORtender updated and  project added to contract register</t>
  </si>
  <si>
    <t>Already going through</t>
  </si>
  <si>
    <t xml:space="preserve"> DN441780</t>
  </si>
  <si>
    <r>
      <t xml:space="preserve">36 + </t>
    </r>
    <r>
      <rPr>
        <sz val="11"/>
        <color rgb="FFFF0000"/>
        <rFont val="Calibri"/>
        <family val="2"/>
        <scheme val="minor"/>
      </rPr>
      <t>24</t>
    </r>
  </si>
  <si>
    <t xml:space="preserve">Extension period available for 01/09/2020 to 31/08/2022. Draft pulled together on 14.10.2019 and sent to Jo Foster-Wade. Put on Signing Hub 14.10.2019. Added onto Yortender under new extension DN441780. Completed and SIGNED </t>
  </si>
  <si>
    <t>Louise Lunn/Annabel Jelly</t>
  </si>
  <si>
    <t xml:space="preserve">Best value form completed. </t>
  </si>
  <si>
    <t>Lot 7 Hospitality &amp; Catering Apprenticeships</t>
  </si>
  <si>
    <t>Extension agreement signed off, YORtender updated</t>
  </si>
  <si>
    <t>Payments software (Currently CORVID)</t>
  </si>
  <si>
    <t xml:space="preserve">OTE 1 Link in with Ally. Meeting in place to discuss Corvid and Bottomline 24th March 2020. Meeting moved to 30/03/2020. This needs a variation and extension. Natalie to send over details. Loaded onto signing hub 07.05.2020.Sent reminders for signature </t>
  </si>
  <si>
    <t>Fleet Management System (2020 PMO Ref: 1944)
(new provision)</t>
  </si>
  <si>
    <t>Ian Fielding is Sponsor / Silas Holland is Contract Manager</t>
  </si>
  <si>
    <t>£25,000 (year 2 onwards)</t>
  </si>
  <si>
    <t>DN460655</t>
  </si>
  <si>
    <t>Special Educational Needs Home to School Transport (x5 schools)
- Brompton Hall School, Scarborough
- Forest Moor School, Harrogate
- The Forest School, Knaresborough
- Springwater School, Harrogate
- Woodlands Academy, Scarborough</t>
  </si>
  <si>
    <t>PROJECT COMPLETED
Initially planned to go out to tender.  Due to Covid-19, a GW4a was completed and approved to extend existing contracts for 12 months to July 2021.  Following a review, these contracts will then be either re-procured via a DPS if live at this point, or via an OJEU open tender.</t>
  </si>
  <si>
    <t>DN498882</t>
  </si>
  <si>
    <t>Provision of Property Flood Resilience Surveys for Properties in Malton, Norton and Old Malton
(new provision)</t>
  </si>
  <si>
    <t>PROJECT COMPLETED
Total cost is based on 36 properties @ £700 each with provision for this to increase if more surveys are required.</t>
  </si>
  <si>
    <t>See notes</t>
  </si>
  <si>
    <t>Winter Health - warm &amp; well</t>
  </si>
  <si>
    <r>
      <t>PH informed Ally want to extend.</t>
    </r>
    <r>
      <rPr>
        <sz val="12"/>
        <rFont val="Calibri"/>
        <family val="2"/>
        <scheme val="minor"/>
      </rPr>
      <t xml:space="preserve"> </t>
    </r>
    <r>
      <rPr>
        <sz val="12"/>
        <color rgb="FFFF33CC"/>
        <rFont val="Calibri"/>
        <family val="2"/>
      </rPr>
      <t>Reasoning 72.c.1.- the need for modification has been brought about by circumstances which a diligent contracting authority could have not foreseen</t>
    </r>
    <r>
      <rPr>
        <sz val="12"/>
        <color rgb="FFFF0000"/>
        <rFont val="Calibri"/>
        <family val="2"/>
      </rPr>
      <t xml:space="preserve">- </t>
    </r>
    <r>
      <rPr>
        <sz val="12"/>
        <rFont val="Calibri"/>
        <family val="2"/>
      </rPr>
      <t xml:space="preserve">the procurement would be aimed at the community and voluntary sector who will be in no position to put in a bid over the next few months. E.g. the current provider are supporting the response to Covid 19 and providing support to vulnerable people. </t>
    </r>
  </si>
  <si>
    <r>
      <t>12+</t>
    </r>
    <r>
      <rPr>
        <sz val="11"/>
        <color rgb="FFFF0000"/>
        <rFont val="Calibri"/>
        <family val="2"/>
        <scheme val="minor"/>
      </rPr>
      <t>12+</t>
    </r>
    <r>
      <rPr>
        <sz val="11"/>
        <rFont val="Calibri"/>
        <family val="2"/>
        <scheme val="minor"/>
      </rPr>
      <t>12</t>
    </r>
  </si>
  <si>
    <t>OTE2  Chloe at YPO so this can be loaded onto Signing Hub. Joel on leave until 10th August. Signed 11.08.2020</t>
  </si>
  <si>
    <t>DN495607</t>
  </si>
  <si>
    <t>Recruitment Resourcer Level 2 Apprenticeship</t>
  </si>
  <si>
    <t>Self service - Best Value - Emma to add to contacts database once BV received.</t>
  </si>
  <si>
    <r>
      <t>12+12+</t>
    </r>
    <r>
      <rPr>
        <sz val="11"/>
        <color rgb="FFFF0000"/>
        <rFont val="Calibri"/>
        <family val="2"/>
      </rPr>
      <t>12</t>
    </r>
    <r>
      <rPr>
        <sz val="11"/>
        <color theme="1"/>
        <rFont val="Calibri"/>
        <family val="2"/>
      </rPr>
      <t>+12+12</t>
    </r>
  </si>
  <si>
    <t>Alistair Gourlay has confirmed that they have entered into an rolling contract for a maximum of five years at £1,500 per year.  A best value form to be submitted.</t>
  </si>
  <si>
    <t>Email sent 02/04/2020. On Signing Hub 14.08.2020. Signed off 17.08.2020</t>
  </si>
  <si>
    <t>DN486644</t>
  </si>
  <si>
    <t xml:space="preserve">Social Worker(Degree) Apprenticeship </t>
  </si>
  <si>
    <t>DN486641</t>
  </si>
  <si>
    <t>Leadership and Management Apprenticeship Pathway</t>
  </si>
  <si>
    <t xml:space="preserve">Treasury Management Investment Consultancy Services  </t>
  </si>
  <si>
    <t>Framework Call off</t>
  </si>
  <si>
    <t>NYCC/CSD - Corporate Accountancy</t>
  </si>
  <si>
    <t>Paul Lloyd</t>
  </si>
  <si>
    <r>
      <t>Contracts are going onto SH for the final supplier sign off stage.
Contracts are going through Selby &amp; Ryedale for sign off before NYCC complete
Everything is now complete client has been asked to confirm they are happy with the details before loading onto signing hub. Direct awarding to</t>
    </r>
    <r>
      <rPr>
        <sz val="9"/>
        <color rgb="FFFF0000"/>
        <rFont val="Arial"/>
        <family val="2"/>
      </rPr>
      <t xml:space="preserve"> Link Group </t>
    </r>
    <r>
      <rPr>
        <sz val="9"/>
        <color theme="1"/>
        <rFont val="Arial"/>
        <family val="2"/>
      </rPr>
      <t xml:space="preserve">through ESPO framework.
Framework access agreement sent, quote recived from Link Group. legal have done a review of the call off terms, all needs pulling togehter and order form completing.
17.12.2020 CW recieved info this should have been sorted for October 2020, information is insufficent to resolve, needs further work on the direct award option from the ESPO framework. Clare to discuss with Kate. Also requested the quotes from Link and we need to complete an access agreement.
Clare W to be sent contract from Link . Need to Complete access agreement etc 
Definite use of ESPO framework. Awaiting copy of terms from supplier (they offered to send copy) Engaged Gemma in legal and she is willing to review. After which make the direct award to Link (incumbent). </t>
    </r>
  </si>
  <si>
    <t>The Beacon (specifically for ex-forces)</t>
  </si>
  <si>
    <t>9.6.2020</t>
  </si>
  <si>
    <t xml:space="preserve">Project not to be re-commissioned in current form. Options for supporting service veterens being scoped. Will need to liaise with A.Barron re:progress on decision.
£65K pa budget.  Includes funding from NYCC PH.  Need confirmation from service as to whether continued need and contract length.  Existing grant ends 30/09/2020.  Needs to re-procured if continued need.  Unlikely to be grant funded moving forward.   </t>
  </si>
  <si>
    <t>Harrogate Homeless project - accommodation based housing support (Harrogate area only)</t>
  </si>
  <si>
    <t>Extension point available. To be assigned to ACO. Procurement Support Ally. Email sent to Natalie requesting update after some of these modules were teminated end of 2019. Meeting in place to discuss Corvid and Bottomline 24th March. Nat confirmed on 10.03.2020 she would like to continue with this and that we won't have further savings as we have already made a dramatic saving through the Paygate implentation which is the transform element of Bottomline. Meeting in place 24/03/2020 Meeting moved to 30/03/2020 via Skype. Natalie to send over details. Extension to be signed off. Chased Nat. Need to find contract for this or information on Yortender. Need orginal start date for extension. Document pulled together and ready. Waiting for contact detials from Bottomline . Doesn't need an extension as it's a micro contract which is purchased as new each year.</t>
  </si>
  <si>
    <t>John Metcalfe/ Nick Leggott</t>
  </si>
  <si>
    <t>Completed. To expire 30/09/2023</t>
  </si>
  <si>
    <t>Provision of ISAM component for electronic ticket machines</t>
  </si>
  <si>
    <t xml:space="preserve">Agreed that this is best value. Latest invoice shows £112 charge per ISAM. Year before was £109 charge. 8 were charged in the last financial year, 7 the year before. Dates back to 2012. Best Value Form completed. </t>
  </si>
  <si>
    <t xml:space="preserve">Wellbeing for Education Return </t>
  </si>
  <si>
    <t>1 year initial term contract awarded to Marsh via YPO framework direct award. 2 further extensions avaiable to tie in with insurance cover procurement</t>
  </si>
  <si>
    <t>Silas Holland / Stuart Preece</t>
  </si>
  <si>
    <t>Non-Active</t>
  </si>
  <si>
    <t xml:space="preserve">Closed. Silas proceeding with in-house. Notification given to Civica. </t>
  </si>
  <si>
    <t>Clinical Supervisions</t>
  </si>
  <si>
    <t>Samantha Clayton</t>
  </si>
  <si>
    <t>Best value form completed</t>
  </si>
  <si>
    <t>DN506598</t>
  </si>
  <si>
    <t>Income Management and Card Payments System
(currently CivicaPay, provided by Civica)</t>
  </si>
  <si>
    <t>Previous contract (due to end May 2021) ceased early following GW4b with agreement of both parties.  New contact with same supplier.</t>
  </si>
  <si>
    <r>
      <t>60+60 (</t>
    </r>
    <r>
      <rPr>
        <sz val="11"/>
        <color rgb="FFFF0000"/>
        <rFont val="Calibri"/>
        <family val="2"/>
      </rPr>
      <t>but only taking 12)</t>
    </r>
  </si>
  <si>
    <t>SS trying to check if this got approvals</t>
  </si>
  <si>
    <t xml:space="preserve">
DN362445</t>
  </si>
  <si>
    <t>OTE 1 - Meeting in place 09/04/2020 with Sarah FG to go over information on this. Can we do a 24 month instead of 12?! Meeting posponed and to be had over skype. Meeting postponed again until 7th May. Sarah drafting GW4. Chased Sarah for wording. Sent to Stacey. Include evidence based numbers to support.  Chased Sarah for MI report. Meeting in place with Sarah to go over evidence for data. Cleared things with Sarah. Ready for PAB. Sarah pulling together extension agreement.  Asked for the completed extension agreement from Sarah so it can go onto signing hub. On signing hub. Chased signature. Signed off 10.09.2020</t>
  </si>
  <si>
    <t>NBS Package licences for APP
• NBS Building (Network 4 user)
• NBS Chorus 2 – CAWS Content x 4
• NBS Scheduler (Network 4 user)
• NBS Contract Administrator (Network 1 user)</t>
  </si>
  <si>
    <t xml:space="preserve">Agreed BVF but further work to start on the reprocurement of this licences. </t>
  </si>
  <si>
    <t>Family Finding Training</t>
  </si>
  <si>
    <t xml:space="preserve">DR signed off. </t>
  </si>
  <si>
    <t>DN538009</t>
  </si>
  <si>
    <t xml:space="preserve">Mobile Access North Yorkshire (MANY) – Community Support </t>
  </si>
  <si>
    <t>Retrospective DR signed off.</t>
  </si>
  <si>
    <t xml:space="preserve">Vicky to check with Lisa what the plans are with the project. SS confirmed this is no longer an extension. This will be an initial term and re-resourced 22.01.2020 </t>
  </si>
  <si>
    <t>Recruitment Admin System
(currently Engage ATS, provided by Havas People)</t>
  </si>
  <si>
    <t>T and C 
(HR)</t>
  </si>
  <si>
    <t>DN497420</t>
  </si>
  <si>
    <t>DN472188</t>
  </si>
  <si>
    <t>Refresh of Digital Forensic Hardware Equipment</t>
  </si>
  <si>
    <t>Purchase of 15 bespoke build units. This is separate to NYCC /  Nick Leggott already signed off as no involvement from T&amp;C required. Legal Resource requested. Initial meeting held with client on17.7.20 - uncertainty regarding number of build units required due to NTec 2 funding elememt (12 - 15?). Also in September upgrade is available which will involve amended prices. Client to decide whether we aim to go live in August or wait until September upgrades.</t>
  </si>
  <si>
    <t>Demand Responsive Travel Project - Booking management system</t>
  </si>
  <si>
    <t>Options being looked at due to value of the pilot, T&amp;C's are being reviewed by Legal.</t>
  </si>
  <si>
    <t>Test and Trace System - MS Dynamics</t>
  </si>
  <si>
    <t>John Kelly / Wendy Rowley</t>
  </si>
  <si>
    <t>Vary softcat MS contract to include additiona modules - JK is speaking to Softcat about pricing and access level types. Action on JK. Emailed JK and spoke with Stacey. Decision to be made in 4 months. Gateway semi drafted - Wendy Rowley to get in touch. Sent draft to Wendy and asked her to add wording. Variation agreement drafted and sent to gordon to check wording before sending to Legal. Signed off by RL and ML 27.11 Sat wih legal. Business area purchased licences. GW approved and signed off. Waiting on Legal. Variation sent to Andrew Plummer for review. GW4 contract variation to be completed on the MS contract with Softcat. Variation completed and sent to Andrer Plummer to review before loading it onto Signing Hub.  Signed and completed 25/01/2021</t>
  </si>
  <si>
    <t>DN499443</t>
  </si>
  <si>
    <t xml:space="preserve">Local Authorities Supporting the Climate Change Agenda </t>
  </si>
  <si>
    <t xml:space="preserve">Jos Holmes </t>
  </si>
  <si>
    <t xml:space="preserve">Contract signed, published to Contracts Register. </t>
  </si>
  <si>
    <t>PROJECT COMPLETED
New line has not been added yet.
This is a separate line to the Oracle OBIA and EBS systems as the support and maintenance is provided by Insight as a re-seller, rather than Oracle directly.</t>
  </si>
  <si>
    <t>T and C 
(Finance)</t>
  </si>
  <si>
    <t>DN519611</t>
  </si>
  <si>
    <t xml:space="preserve"> Waste Collection Software (Route optimisation / trade waste) </t>
  </si>
  <si>
    <t xml:space="preserve"> Webaspx Ltd </t>
  </si>
  <si>
    <t xml:space="preserve"> 1 year </t>
  </si>
  <si>
    <t xml:space="preserve"> Quote </t>
  </si>
  <si>
    <t xml:space="preserve"> Beckie Bennett </t>
  </si>
  <si>
    <t>Contract procedure exemption approved for one year contract. Lead by Theresa Dykstra</t>
  </si>
  <si>
    <t>Waste Collection and In Cab technology</t>
  </si>
  <si>
    <t>DN454279</t>
  </si>
  <si>
    <r>
      <t>12</t>
    </r>
    <r>
      <rPr>
        <sz val="11"/>
        <color rgb="FFFF0000"/>
        <rFont val="Calibri"/>
        <family val="2"/>
      </rPr>
      <t>+6</t>
    </r>
  </si>
  <si>
    <t xml:space="preserve">Emailed Amanda Alderson to find out if this is something she wishes to continue with. This looks as though it was newly put in place in April 2020 for 6 months. Is this the one we just terminated? Research. Finalised. Speak with Amanda to put some time in before sending it to PAB. Meeting in place 2nd December. GW pulled together and sent to Amanda to check over before sending to PAB. Sent to Stacey 9th Dec for PAB. BNYM will not use signing hub so this had to be signed by NYCC staff first and then emailed over the agreement. This is closed but we are waiting for BNYM to send us back a copy with their signatures. </t>
  </si>
  <si>
    <t>42k (6 month OTE)</t>
  </si>
  <si>
    <t>SS Chased for further information on spend.</t>
  </si>
  <si>
    <t>T and C 
(Unified Comms)</t>
  </si>
  <si>
    <t>Test and Trace (Outbreak Management) System - MS Dynamics - Implementation Partner</t>
  </si>
  <si>
    <t>John Kelly / Rachel Woodward</t>
  </si>
  <si>
    <t>Potential requirement to appoint implementation partner for MS Dynamics IF softcat can not be the partner.</t>
  </si>
  <si>
    <t>Order form fully signed off and Yortender and Contracts Register updated</t>
  </si>
  <si>
    <t>DN505087</t>
  </si>
  <si>
    <t>Financial Accounting Solution for External Clients (2020 PMO Ref: 2286)
(new provision)</t>
  </si>
  <si>
    <r>
      <t xml:space="preserve">Direct Award via KCS Framework
Estimated whole life costs are the </t>
    </r>
    <r>
      <rPr>
        <u/>
        <sz val="11"/>
        <rFont val="Calibri"/>
        <family val="2"/>
      </rPr>
      <t>maximum</t>
    </r>
    <r>
      <rPr>
        <sz val="11"/>
        <rFont val="Calibri"/>
        <family val="2"/>
      </rPr>
      <t xml:space="preserve"> costs of the solution.  Initially charges will cover the core finance module and hosting, with flexibility to add additional modules depending on the outcome of the scoping work to be carried out.</t>
    </r>
  </si>
  <si>
    <t>Pension Fund Tax Advisors (overseas tax claims)</t>
  </si>
  <si>
    <r>
      <rPr>
        <sz val="11"/>
        <color rgb="FFFF0000"/>
        <rFont val="Calibri"/>
        <family val="2"/>
      </rPr>
      <t>This is no longer required, updated by Quingzi 01.04.2021</t>
    </r>
    <r>
      <rPr>
        <sz val="11"/>
        <rFont val="Calibri"/>
        <family val="2"/>
      </rPr>
      <t xml:space="preserve">
Current contract has lasped Qingzi to get update. Not sure of the value and the service is needed.
Requested further update 12/03/21 and not had a response.
As tax can be reclaimed retropectiveley recommend  we are awaiting the service area to confirm on outstanding actions. (current contract has lapsed)  Would recommend regular prompts are required. Actions are: 
1.AA to engage with key providers to determine whether they would do as assessment free of charge. Tax can be reclaimed for up to 6yrs so over running this project, whilst we want to avoid, should not be a problem. A provider would usually collect data/information then advise whether there is anything claimable. It may be that the cost of paying would not exceed what could be claimed back. When the providers will advise regarding free quotes. 
2. Begin procurement accordingly 
</t>
    </r>
  </si>
  <si>
    <t>DN547507</t>
  </si>
  <si>
    <t>24+36</t>
  </si>
  <si>
    <t>Clare Winter</t>
  </si>
  <si>
    <t>Contract signed
Contract has been sent through signing hub to Marsh (NYCC Broker)
24/03/2021 Still ongoing issues with the DPIA and Veritau, meetings have taken place and we should have a resolution T&amp;C's need updating and issuing to Marsh.
27/01/2021 There are problems with the full DPIA and conversations need to happen with legal services and the service area as to who is the data processor etc. CW in coversation with SM</t>
  </si>
  <si>
    <t xml:space="preserve">The supply and delivery of office supplies, office paper, and IT consumables (Lyreco is current) </t>
  </si>
  <si>
    <t>Graham Millichap / Kirsten Dixon</t>
  </si>
  <si>
    <t>Agreement fully signed off &amp; contracts register updated</t>
  </si>
  <si>
    <t xml:space="preserve">DN497384 </t>
  </si>
  <si>
    <t>Election Printing Services</t>
  </si>
  <si>
    <t>Adare SEC</t>
  </si>
  <si>
    <t>Fully signed contract executed</t>
  </si>
  <si>
    <t>DN497384</t>
  </si>
  <si>
    <t>Agreed short 3 month extension to 31.03.22 to LGR. New contract being procured for new council by Dale Casson at SBC</t>
  </si>
  <si>
    <r>
      <t>24</t>
    </r>
    <r>
      <rPr>
        <sz val="11"/>
        <color theme="1"/>
        <rFont val="Calibri"/>
        <family val="2"/>
        <scheme val="minor"/>
      </rPr>
      <t>+12</t>
    </r>
    <r>
      <rPr>
        <sz val="11"/>
        <rFont val="Calibri"/>
        <family val="2"/>
        <scheme val="minor"/>
      </rPr>
      <t>+</t>
    </r>
    <r>
      <rPr>
        <sz val="11"/>
        <color rgb="FFFF0000"/>
        <rFont val="Calibri"/>
        <family val="2"/>
        <scheme val="minor"/>
      </rPr>
      <t>12</t>
    </r>
  </si>
  <si>
    <t>DN522398</t>
  </si>
  <si>
    <t>Malton - Norton Regeneration Scheme Consultancy</t>
  </si>
  <si>
    <t>Bloom Procurement</t>
  </si>
  <si>
    <t>Amy Thomas / Esther Graham</t>
  </si>
  <si>
    <t>Contract awarded to Aspinall Verdi via Nepro Bloom framework</t>
  </si>
  <si>
    <t>Ryedale Enterprise &amp; Business Centre &amp; Kirkbymoorside Employment Land Feasibility Study</t>
  </si>
  <si>
    <t>Howard Wallis / Mark Bates</t>
  </si>
  <si>
    <t>Contract executed with Bloom, works order with Genecon</t>
  </si>
  <si>
    <t xml:space="preserve">OTE to 14/01/22 fully signed off.  </t>
  </si>
  <si>
    <t>Ongoing Leisure Management Contract Support and Management Options Paper</t>
  </si>
  <si>
    <t>FMG Consulting Ltd</t>
  </si>
  <si>
    <t xml:space="preserve">Amy Thomas </t>
  </si>
  <si>
    <t>Direct award via ESPO framework. Contract never returned from the supplier after chasing, contract now ended</t>
  </si>
  <si>
    <t>DN528710</t>
  </si>
  <si>
    <t>Payroll Assistant Manager</t>
  </si>
  <si>
    <t>Kayte Sexton</t>
  </si>
  <si>
    <t>Further Competition document complete - awaiting confirmation from Service area for publishing (18/12)
Potential to use YPO Framework Cash Collections and Cash and Valuables in Transit Services - 324F-20</t>
  </si>
  <si>
    <t>DN521258</t>
  </si>
  <si>
    <t>Direct Award via CCS DAS Framework (RM3821)
Links to EDRMS, Recruitment Admin and Recruitment Admin (DBS) projects.</t>
  </si>
  <si>
    <t>DN304952</t>
  </si>
  <si>
    <r>
      <t>36+</t>
    </r>
    <r>
      <rPr>
        <sz val="11"/>
        <color rgb="FFFF0000"/>
        <rFont val="Calibri"/>
        <family val="2"/>
        <scheme val="minor"/>
      </rPr>
      <t>12</t>
    </r>
    <r>
      <rPr>
        <sz val="11"/>
        <rFont val="Calibri"/>
        <family val="2"/>
        <scheme val="minor"/>
      </rPr>
      <t>+12</t>
    </r>
  </si>
  <si>
    <t>Roger Fairholm/Graham Millichap</t>
  </si>
  <si>
    <t>G4 fully approved.  Contract extension on Signing Hub awaiting sign off - Legal signature outstanding.</t>
  </si>
  <si>
    <t>Service area to complete</t>
  </si>
  <si>
    <t xml:space="preserve">DN491164 </t>
  </si>
  <si>
    <t>3+2+2+2</t>
  </si>
  <si>
    <t xml:space="preserve">Sign-off complete. </t>
  </si>
  <si>
    <t>CYPLT: 14/07/21</t>
  </si>
  <si>
    <t>NYCC/CYPS - Children &amp; Families</t>
  </si>
  <si>
    <r>
      <rPr>
        <sz val="10"/>
        <color rgb="FF000000"/>
        <rFont val="Calibri"/>
        <family val="2"/>
      </rPr>
      <t>ongoing admin and support -</t>
    </r>
    <r>
      <rPr>
        <b/>
        <sz val="10"/>
        <color rgb="FF000000"/>
        <rFont val="Calibri"/>
        <family val="2"/>
      </rPr>
      <t xml:space="preserve"> Complete</t>
    </r>
  </si>
  <si>
    <t>Children's</t>
  </si>
  <si>
    <t>DN525124</t>
  </si>
  <si>
    <t>T and C 
(Education)</t>
  </si>
  <si>
    <t>DN526916</t>
  </si>
  <si>
    <t>Paritor Music Service System (PMO Ref: 3055)</t>
  </si>
  <si>
    <t>Lorena Phillips / Emily Asquith-Fox</t>
  </si>
  <si>
    <r>
      <t xml:space="preserve">Yortender and contracts register updated.
DR is with Gary Fielding for sign off
DR is now drafted and needs SCM review.
Laura is supporting with this. This agreement has been in place since 2014 with multiple extensions. A directors recommendation has been drafted and is awaiting further detail from the service area. Service area is concerned regarding timeline. We have received a project brief on this from the PMO team, plan to extend current arrangements for 2021 with a veiw to re-procure.
Meetings being had with service area.Support from L Baxter. Resource request. Service area requires close support. </t>
    </r>
    <r>
      <rPr>
        <sz val="11"/>
        <color rgb="FFFF0000"/>
        <rFont val="Calibri"/>
        <family val="2"/>
      </rPr>
      <t xml:space="preserve">Assign to new PO's in January. </t>
    </r>
  </si>
  <si>
    <t>DN510228</t>
  </si>
  <si>
    <t>Contract executed with Connected Kerb</t>
  </si>
  <si>
    <t>Desk Booking System (2020 PMO Ref: 3022)
(new provision)</t>
  </si>
  <si>
    <t>Chris Mandiville (PM)</t>
  </si>
  <si>
    <t>Direct Award via G-Cloud 12.
The number of desks required are estimated as this will be a demand-led service, subject to the
outcome of the Covid-19 pandemic and subsequent Government guidance.  The actual costs may increase or decrease upon demand.</t>
  </si>
  <si>
    <t>21+12</t>
  </si>
  <si>
    <t xml:space="preserve">As initial purchase for NY Highways, moved to NY Highways resource. </t>
  </si>
  <si>
    <t>DN507195</t>
  </si>
  <si>
    <t xml:space="preserve">Malton to Pickering Cycleway </t>
  </si>
  <si>
    <t>Colas Ltd</t>
  </si>
  <si>
    <t>Contract executed 20.01.21</t>
  </si>
  <si>
    <t>DN528047</t>
  </si>
  <si>
    <t>Purchase of Windows remote desktop software licenses</t>
  </si>
  <si>
    <t>Purchasing via HealthTrust Europe Framework. Order sent 19.02.2021</t>
  </si>
  <si>
    <t>13+12</t>
  </si>
  <si>
    <r>
      <t>12+</t>
    </r>
    <r>
      <rPr>
        <sz val="11"/>
        <rFont val="Calibri"/>
        <family val="2"/>
        <scheme val="minor"/>
      </rPr>
      <t>9+</t>
    </r>
    <r>
      <rPr>
        <sz val="11"/>
        <color rgb="FFFF0000"/>
        <rFont val="Calibri"/>
        <family val="2"/>
        <scheme val="minor"/>
      </rPr>
      <t>12</t>
    </r>
  </si>
  <si>
    <t>Kirstie Paterson / Graham Millichap</t>
  </si>
  <si>
    <t>OTE to 26/02/22 fully signed off.  NFA until May 21.</t>
  </si>
  <si>
    <t>Corporate Travel and Accommodation (Currently CTM)</t>
  </si>
  <si>
    <r>
      <t>12+</t>
    </r>
    <r>
      <rPr>
        <sz val="11"/>
        <color rgb="FFFF0000"/>
        <rFont val="Calibri"/>
        <family val="2"/>
        <scheme val="minor"/>
      </rPr>
      <t>15</t>
    </r>
  </si>
  <si>
    <t>KL taking this forward under Covid-19 special variation / extension.    Potential to contract with existing supplier for an additional 12 months via CCS framework if needed. Catch up with KN, GM, BN 28/04. Further catch up held on 09/07.  RFI due to close 10/07/20 to test market interest and capacity.</t>
  </si>
  <si>
    <t>24+24+12</t>
  </si>
  <si>
    <t>Emily Allen</t>
  </si>
  <si>
    <t>Contrat sign-off completed, YORtender record and contract register updated</t>
  </si>
  <si>
    <t>DN263747</t>
  </si>
  <si>
    <t>Registrar, Births, Deaths and Marriages - Online Appointments System Zipporah LTD</t>
  </si>
  <si>
    <r>
      <t>36+</t>
    </r>
    <r>
      <rPr>
        <sz val="11"/>
        <color rgb="FFFF0000"/>
        <rFont val="Calibri"/>
        <family val="2"/>
        <scheme val="minor"/>
      </rPr>
      <t>36</t>
    </r>
    <r>
      <rPr>
        <sz val="11"/>
        <rFont val="Calibri"/>
        <family val="2"/>
        <scheme val="minor"/>
      </rPr>
      <t>+24</t>
    </r>
  </si>
  <si>
    <t>1st OTE available  Stacey will help. Contact made with Robin. Robin wishes to extend. Zipporah LTD - Jobe Bruzas and Jon Stewart. Scott at Zipporah is chasing the savings query with collagues. No savings to be made. Extension agreement put on Signing Hub 22.04.2020 Chased scott for signature. Completed.</t>
  </si>
  <si>
    <t xml:space="preserve">DN395452 </t>
  </si>
  <si>
    <t>EXTEND - Spoke to Lorena Philips, happy to extend if possible. It was agreed at the beginning of the contract that NYCC would pay annually for 3 years so we do not need to do any extensions each year.</t>
  </si>
  <si>
    <t xml:space="preserve">Insurance and Risk Management System (PMO Ref: 1587) 
(currently EvoClaim, provided by DWF 360) </t>
  </si>
  <si>
    <r>
      <t>24+24+</t>
    </r>
    <r>
      <rPr>
        <sz val="11"/>
        <color rgb="FFFF0000"/>
        <rFont val="Calibri"/>
        <family val="2"/>
        <scheme val="minor"/>
      </rPr>
      <t>24</t>
    </r>
    <r>
      <rPr>
        <sz val="11"/>
        <rFont val="Calibri"/>
        <family val="2"/>
        <scheme val="minor"/>
      </rPr>
      <t>+24</t>
    </r>
  </si>
  <si>
    <t xml:space="preserve">Basically this will need changing the dates on the gateway and re submitting.
2nd Extension from 9th March 2021 to 8th March 2023. Email sent to Fiona S 09.03.2020. Karen Wilson confirmed they would like to continue. Pull together extension agreement. Silas thinks there is a risk financially with this. Extension document drafted. Sent to Karen Wilson. Sent to Silas and Karen again on 30/11/2020 Sent to Chris at DWF to review 10th Dec. Chased Chris who has chased it at his end. Chased Chris again. Put on signing hub for Ashley and Silas to sign. Completed and signed off 
</t>
  </si>
  <si>
    <t>HP 5900 (Citrix) - support</t>
  </si>
  <si>
    <t>DN524293</t>
  </si>
  <si>
    <t>Sustainable Construction Consultancy (LEP Project)</t>
  </si>
  <si>
    <t>Contract for 6 months commencing on 15/03/21 no extensions required as this is for a piece of work which the LEP has currently received funding for, no additional funding is expected for future work at this moment in time.</t>
  </si>
  <si>
    <t>Local Energy Asset Representation data set.</t>
  </si>
  <si>
    <t>Jos Holmes / Katie Privett</t>
  </si>
  <si>
    <t>Director's Recommendation signed 25/2/21</t>
  </si>
  <si>
    <t>Joel Saunders / Schools ICT</t>
  </si>
  <si>
    <t xml:space="preserve">No requirement going forward
Email sent to Joel to confirm the requirement - 18/12/2020
CW to ask Emma Joel, if we still need this.
Joel confirmed they do not anticipate needing this in the future. Worth confirming closer to the time. </t>
  </si>
  <si>
    <t>DN533457</t>
  </si>
  <si>
    <t>Citrix ADC Software (incl. support and maintenance)
(contract with Softcat as a re-seller)</t>
  </si>
  <si>
    <t>Direct Award via KCS Framework to Softcat as a re-seller.  Contract signed and closed down.  
Support and maintenance will not start until order is placed and goods received so new contract will be needed in approx 5 years time.</t>
  </si>
  <si>
    <t>DN522312</t>
  </si>
  <si>
    <t xml:space="preserve">Contracts executed. </t>
  </si>
  <si>
    <t>citrix</t>
  </si>
  <si>
    <t>DN535522</t>
  </si>
  <si>
    <t>AWRP Land Planning Consultant</t>
  </si>
  <si>
    <t>Philip Cowen</t>
  </si>
  <si>
    <t xml:space="preserve">Direct award to Cushman &amp; Wakefield complete 31/3/21. </t>
  </si>
  <si>
    <t>Has</t>
  </si>
  <si>
    <t>Extra Care Housing Framework</t>
  </si>
  <si>
    <t>No Key decision needed as taken at original procurement.</t>
  </si>
  <si>
    <t>DN462364</t>
  </si>
  <si>
    <t>Harrogate WI-FI &amp; LPWAN
(RFI only completed - see notes section)</t>
  </si>
  <si>
    <t>Nick Leggott / Jon Savage (PM)</t>
  </si>
  <si>
    <t>Initial intention was to carry out a CPN, procured jointly with Harrogate.  Gateway document and Key Decision was completed and initial RFI was published on YORtender.  Subsequently, decision was made for HBC to transfer funding to NYCC and NYCC deliver through its own resources including NYnet.  Gateway addendum completed and Key Decision amended to reflect this.  Call-in ended 31 Mar.  Supplier messages sent on YORtender to advise of outcome.</t>
  </si>
  <si>
    <t xml:space="preserve">VM Note: Whole new procurement was put in place in 2020 and signed off in 1st April 2020 for 2 years until 2022. Becky Shenton updated me. </t>
  </si>
  <si>
    <r>
      <t>12+12+</t>
    </r>
    <r>
      <rPr>
        <sz val="11"/>
        <color rgb="FFFF0000"/>
        <rFont val="Calibri"/>
        <family val="2"/>
        <scheme val="minor"/>
      </rPr>
      <t>12</t>
    </r>
    <r>
      <rPr>
        <sz val="11"/>
        <color theme="1"/>
        <rFont val="Calibri"/>
        <family val="2"/>
        <scheme val="minor"/>
      </rPr>
      <t>+12</t>
    </r>
  </si>
  <si>
    <t xml:space="preserve">This is usually rolled over every year via g-cloud. VM completed last extenison 20.03.2020. Pick up back end of 2020. Emailed Jen, Adrian and Julie 30/11/20. Does this need a GW?! Annual cost is just over 50k? Adrian confirmed he would like to continue with the service. Adrian to send account manager details over. G Cloud document sent to account manager 08.12.2020. Tania confirmed she will get back in touch re this in the new year. Chased email to Tania. Sent updated G-Cloud document to Adrian to check over before putting it on Signing Hub. Chased Adrian. Chase Adrian after 10th Feb. Chased Adrian. On Signing Hub. SIGNED </t>
  </si>
  <si>
    <t>£61,935.00 ex-VAT</t>
  </si>
  <si>
    <t>Hardware Security Modules (includes hardware, support and maintenance)</t>
  </si>
  <si>
    <r>
      <t>24+12+</t>
    </r>
    <r>
      <rPr>
        <sz val="11"/>
        <color theme="1"/>
        <rFont val="Calibri"/>
        <family val="2"/>
        <scheme val="minor"/>
      </rPr>
      <t>12</t>
    </r>
  </si>
  <si>
    <t>Silas Holland / Karen Wilson</t>
  </si>
  <si>
    <t xml:space="preserve">Provision of a Management Information System and Financial Accounting System for Schools (MIS&amp;FAS). Variation and Extension. Bromcom &amp; Capita </t>
  </si>
  <si>
    <t>OTE1 Emailed Keren to disuss potential extension. Go over framework changes with Keren. Bromcom variation good to go. Wait until Capita announce prices before completing their variation. Gateway to be picked up after xmas for 12 months rather than 24 to allow for market research. Amendments sent through to Sarah. Variation for Bromcom drafted and sent to Sarah as well as added to the log. Bromcom does not need varying and Capita amendments have been agreed to. Chased Keren for both accounts. Beth Bilby suggested we get Capita to draft the variation. Variation template sent to Keren to send to Capita. Chased Keren. NYCC to draft variation and then send onto Beth. Chased Keren again from Bromcom feedback. Meeting in with Keren for GW 4. Gateway drafted and sent to Keren to add wording around Covid 19. Bromcom variation signed off. Variation sent to Capita to review. Chased Keren for wording. To present at PAB on 5th March 21. Rejected on the timescale. Extension to go through for 24 months rather than 12. Individual extension agreements drafted and ready. Keren to send through contact details for suppliers. Access Loaded onto signing hub</t>
  </si>
  <si>
    <t xml:space="preserve">Mobile Access North Yorkshire (MANY) IOT Project </t>
  </si>
  <si>
    <t>Nick Leggott</t>
  </si>
  <si>
    <r>
      <t>The contract value will be monitored nearer the time however it is unlikely a procurement resource is required, Stacey will provide advice to service as required or Kate can step in if required.
This is an IOT project. Focus on 5G delivery in 'not spots' of North Yorkshire. Queried if this is still a procurement requirement - was instructed that at present it remains unclear but to leave it on the FPP.</t>
    </r>
    <r>
      <rPr>
        <sz val="11"/>
        <color rgb="FFFF0000"/>
        <rFont val="Calibri"/>
        <family val="2"/>
      </rPr>
      <t xml:space="preserve"> </t>
    </r>
  </si>
  <si>
    <t>Gilmoors - Fresh Meat and Frozen Goods  [Veg/Meat/Fruit/Fish/Bread/Desserts]</t>
  </si>
  <si>
    <t>Contract extension fully signed.  NFA on this contract.</t>
  </si>
  <si>
    <t>Direct Award under the G-Cloud 12 Framework Agreement</t>
  </si>
  <si>
    <t>DN537300</t>
  </si>
  <si>
    <t>Client Caseload Information System
(currently Aspire, provided by Capita)  (2020 Ref:2319)</t>
  </si>
  <si>
    <t>DN530738</t>
  </si>
  <si>
    <t xml:space="preserve"> Contract signed 01/02
Drafted new agreement based on the KCS FA.  Checking with Nic if he would be happy for me to include 1+1 extension options.  PO already issues for 63/70 of the schools. Awaiting remaining school data before finalising the contract doc.  Final contract drafted and uploaded onto SigningHub 20/05, reminder for Softcat signature sent 10/08/21.</t>
  </si>
  <si>
    <t>OTE1 - Emailed Lorena for overview and confirmation on extension. Lorena confirmed they would like to extend and will be sending the PO. Emailed Lorena. Extension drafted and ready to go. Can only extend for 12 months as it's on the G-Cloud framework. Signed off for 12 months - April 21-April 22</t>
  </si>
  <si>
    <r>
      <t xml:space="preserve">Local Bus Services and Mainstream Home </t>
    </r>
    <r>
      <rPr>
        <sz val="11"/>
        <rFont val="Calibri"/>
        <family val="2"/>
      </rPr>
      <t>to School Transport - Selby Area</t>
    </r>
  </si>
  <si>
    <t>£2,609,083.95 (LBS)
£9,043,515.50 (H2S)</t>
  </si>
  <si>
    <r>
      <t>24+12+</t>
    </r>
    <r>
      <rPr>
        <sz val="11"/>
        <color rgb="FFFF0000"/>
        <rFont val="Calibri"/>
        <family val="2"/>
      </rPr>
      <t>12</t>
    </r>
  </si>
  <si>
    <t>Handover to Vicky. One year Covid-19 extension required to 31/3/2022. Clare confirmed this was available and extension to be signed off for a further year. Extension sent to Clare. Loaded onto Signing Hub 28.07.2020 Signed off 29.07.2020</t>
  </si>
  <si>
    <t>Traded Service Online Communications Platform</t>
  </si>
  <si>
    <t>Jon Savage / Louise Burke</t>
  </si>
  <si>
    <r>
      <t>12</t>
    </r>
    <r>
      <rPr>
        <sz val="11"/>
        <color rgb="FFFF0000"/>
        <rFont val="Calibri"/>
        <family val="2"/>
        <scheme val="minor"/>
      </rPr>
      <t>+12</t>
    </r>
  </si>
  <si>
    <t xml:space="preserve">Added to FPP. Emailed Shaun. New contract put in place May/June 2020 for 2 years. Doesn't need picking up until late 2021. Contract 1st April 2020 - 31st March 2022. </t>
  </si>
  <si>
    <t>OTE 1 - Extension drafted and sent to David at CEL for review. Waiting for Jon. Code Enigma confirmed they are happy with the extension. Signed and completed 29th March</t>
  </si>
  <si>
    <t>DN 536311</t>
  </si>
  <si>
    <t>Contract Signed - Completed</t>
  </si>
  <si>
    <t>04.11.2021 Emma to check that the subscription is still required.
DR approved by GF.</t>
  </si>
  <si>
    <t>Gamification Marketing Tool</t>
  </si>
  <si>
    <t>SS sent DR for approval.</t>
  </si>
  <si>
    <t>DN546179</t>
  </si>
  <si>
    <t>Historic Environment Record System
(currently provided by Exegesis)</t>
  </si>
  <si>
    <r>
      <t>Added following conversation with Nick Leggott.  Previous comment on completed tab on FPP from 11/02/19 was "Extension in place via best value form &amp; short form contract".  Annual cost then was £</t>
    </r>
    <r>
      <rPr>
        <sz val="11"/>
        <rFont val="Calibri"/>
        <family val="2"/>
      </rPr>
      <t>6,468.00.  Agreed for BVF to be completed for 2021/22.  New project has been established for new requirement '3024 - Historic Environment Record Software Appraisal and Improvement'.</t>
    </r>
  </si>
  <si>
    <t>Service area to sort out.</t>
  </si>
  <si>
    <t>DN533506</t>
  </si>
  <si>
    <t>SS has background - need someone to complete gcloud direct award process. SS has all information.  Gcloud paperwork reviewed at our end and sent to Robert.  Robert happy with it so Lisa-Marie has uploaded the contract onto DocuSign for signatures. Awaiting signed copy to be sent to me 09/04. Signed copy received and saved in file.</t>
  </si>
  <si>
    <t>DN552497</t>
  </si>
  <si>
    <t>This contract has now been signed (and added to contracts register - 23/06/21) the current expiry date is 31/03/23 however there is also an extension period of up to a further 24 months. Due to issues with how tax was deducted via the Reed framework previously used to procure this service had to be terminated. A directors recommendation was signed by Gary Fielding to direct award the service back to Leslie Robb for an inital period of 24 months (on 12/04/21). Legal had requested that a waiver was signed for this service therefore a waiver was also completed and sent for review.
This was the contract direct award to Leslie Robb using a framework. Since then it became apparent the tax being charged is no</t>
  </si>
  <si>
    <t xml:space="preserve">SAM Framework order complete. Added to Contracts Register. </t>
  </si>
  <si>
    <t xml:space="preserve">Independent Health Complaints Advocacy Service </t>
  </si>
  <si>
    <t>Daniel Harry</t>
  </si>
  <si>
    <r>
      <rPr>
        <sz val="11"/>
        <rFont val="Calibri"/>
        <family val="2"/>
        <scheme val="minor"/>
      </rPr>
      <t>Links to the wider Advocacy re-procurement whereby all three elements (Adults/Children's and Health) will be procured as one contract.
No further option to extend in original contract. 
Further extension available for the CYPS contract; full extension was not taken up. 
Propose to align HAS, CYPS &amp; Health advocacy to 31/03/2022. no further extensions available for HAS &amp; Health advocacy; current end date for HAS &amp; Health is 31/03/21.
Daniel Harry happy to extend as proposed.</t>
    </r>
    <r>
      <rPr>
        <sz val="11"/>
        <color rgb="FFFF0000"/>
        <rFont val="Calibri"/>
        <family val="2"/>
        <scheme val="minor"/>
      </rPr>
      <t xml:space="preserve">
</t>
    </r>
  </si>
  <si>
    <t>Healthy Child Substance Misuse</t>
  </si>
  <si>
    <t>Conract signed - awarded to Humankind</t>
  </si>
  <si>
    <t>Newburn House and Outreach Service</t>
  </si>
  <si>
    <r>
      <t>60+</t>
    </r>
    <r>
      <rPr>
        <sz val="11"/>
        <color rgb="FFFF0000"/>
        <rFont val="Calibri"/>
        <family val="2"/>
      </rPr>
      <t>12</t>
    </r>
  </si>
  <si>
    <t>APL Consortium- 15 Las</t>
  </si>
  <si>
    <t>Interpretation Services (BSL)</t>
  </si>
  <si>
    <t>24 + 12</t>
  </si>
  <si>
    <t>Deborah Hugill, Shanna Carrell, Stephen Wright</t>
  </si>
  <si>
    <t>DN536206</t>
  </si>
  <si>
    <t xml:space="preserve">EM Lawshare offer taken up and order form completed with Thomson Reuters. </t>
  </si>
  <si>
    <t>Zaheer Ishtiaq</t>
  </si>
  <si>
    <t>ON HOLD - No update at present. 
Emma supporting and will request progress update.
Need to understand commissioning arrangements and ensure appropriate route to market - no longer part of the WRF.  Currently spot purchasing but placement numbers are extre</t>
  </si>
  <si>
    <t>Original procurement was KD on 28/01/2020</t>
  </si>
  <si>
    <r>
      <t xml:space="preserve">Collaboration Agreement with HDTF. Commenced 1/4/2020 - 31/3/2021 
First OTE 01/04/2021 - 31/03/2022 + 01/04/2022 -31/03/2023 
Rosie drafting contract extension/variation and issue.                                                                                       </t>
    </r>
    <r>
      <rPr>
        <b/>
        <sz val="11"/>
        <rFont val="Calibri"/>
        <family val="2"/>
        <scheme val="minor"/>
      </rPr>
      <t xml:space="preserve">Completed </t>
    </r>
  </si>
  <si>
    <t>Microenterprises</t>
  </si>
  <si>
    <t>Advocacy HAS &amp; CYPS</t>
  </si>
  <si>
    <t>HAS decision - 15/01/2021
CYPLT decision - 19/01/2021</t>
  </si>
  <si>
    <t>Abi Barron / Emma Lonsdale</t>
  </si>
  <si>
    <t>Dale Owens / Helen Thirkell</t>
  </si>
  <si>
    <t>Saroj Barber</t>
  </si>
  <si>
    <t>36+24+6+6</t>
  </si>
  <si>
    <t>Library desktop booking system (2917 Library Service – PC booking / print management)</t>
  </si>
  <si>
    <r>
      <t>36+</t>
    </r>
    <r>
      <rPr>
        <sz val="11"/>
        <color rgb="FFFF0000"/>
        <rFont val="Calibri"/>
        <family val="2"/>
        <scheme val="minor"/>
      </rPr>
      <t>6</t>
    </r>
  </si>
  <si>
    <t>Chrys Mellor/Lizzie Sykes</t>
  </si>
  <si>
    <t xml:space="preserve">Extended until 30/09/2021. Extension signed. </t>
  </si>
  <si>
    <t>DN501379</t>
  </si>
  <si>
    <t xml:space="preserve">Deborah Hugill </t>
  </si>
  <si>
    <t xml:space="preserve">Call-offs signed. Added to Contracts Register. Complete. </t>
  </si>
  <si>
    <r>
      <rPr>
        <sz val="10"/>
        <color rgb="FF000000"/>
        <rFont val="Calibri"/>
        <family val="2"/>
      </rPr>
      <t>36+24+</t>
    </r>
    <r>
      <rPr>
        <sz val="10"/>
        <color rgb="FFFF0000"/>
        <rFont val="Calibri"/>
        <family val="2"/>
      </rPr>
      <t>6+6</t>
    </r>
  </si>
  <si>
    <t>DN531848</t>
  </si>
  <si>
    <t>Rosy Smith</t>
  </si>
  <si>
    <t>DN537241</t>
  </si>
  <si>
    <t>G Cloud</t>
  </si>
  <si>
    <t>Fuly signed contract saved in folder</t>
  </si>
  <si>
    <t>Will Baines</t>
  </si>
  <si>
    <t>Exemption in place. To be reviewed prior to next reneewal</t>
  </si>
  <si>
    <t>DN542703</t>
  </si>
  <si>
    <t>Annual rolling to be reviewed prior to renewal</t>
  </si>
  <si>
    <t>DN548405</t>
  </si>
  <si>
    <t>Direct award call off from NHC. Margaret Wallace signed 10.06.21</t>
  </si>
  <si>
    <t>Sarah Wintringham</t>
  </si>
  <si>
    <t>09.01.2023, Sarah informed we are to take the extension. Supplier confirmed this will extend, still waiting for signed confirmation letter</t>
  </si>
  <si>
    <t xml:space="preserve">Meter administrator role for Half Hourly Un-Metered Supply (street lights) </t>
  </si>
  <si>
    <t>2022/05/09 Remains
2021/07/23 Potential to include in Elec supply contract to be explored
2021/06/14 Deresourced, pending contact from PGi, contact made nil rsp
17/02/2021 No further information received from Paul Gilmore so assumed no longer required.
11/09/2020 Emailed Paul Gilmore. Meeting to discuss procurement requirements W/C 21st September
2020/02/02 Suspect sole market provider (95% market share) Power Data Associates, required for managing the half-hourly supply to street lights from 2020.  First year under best value, then exploration of appointment for long term contract.  Savings from accurate measure of luminaire switching. 20 lux on / off</t>
  </si>
  <si>
    <t>Special Educational Needs Home to School Transport (x4 schools)
(Applefields School; Brooklands School; The Dales School; Hob Moor Oaks School)</t>
  </si>
  <si>
    <t>Initially intended to re-procure these contracts which commenced April 2018; however, due to Covid-19, decision was taken to take up the 1-year extension period instead.  As these contracts were the last ones procured individually via YORtender by IPT, rather than collectively under an OJEU exercise, the contracts individually were under the OJEU threshold and therefore a Gateway 4a was not completed.</t>
  </si>
  <si>
    <t>OTE 1 of 2 - Cath Richie confirmed the service needs to contine. Extension drafted for this. Extension sent to Karen and Silas. Contract meeting end of Nov. Karen to confirm when this is to be loaded onto Signing Hub. There is a variation for this also. Extension ready to go but wait until conversations about variaiton as we may be able to do them together. Variation on Legal log sheet. Chased Chris for variation specification wording. Variation template pulled together ready. Extension loaded onto signing hub. Reminder sent to Adam. Link will not work in the email. VM sent this to Stuart Cripps instead</t>
  </si>
  <si>
    <t>HP 5900 (DR) - support</t>
  </si>
  <si>
    <t>Initial period</t>
  </si>
  <si>
    <t>Virtual School OOA attendance (currently Welfare call)</t>
  </si>
  <si>
    <t>DN522649</t>
  </si>
  <si>
    <t>13 x accessible low floor minibuses</t>
  </si>
  <si>
    <t>Contract awarded to Mellor Coachcraft, contract signed, Yortender &amp; Contracts register records updated and closed down.</t>
  </si>
  <si>
    <t>PAMMS Software - Data Market Insight</t>
  </si>
  <si>
    <t>Stacey Speakman / Rachel Woodward</t>
  </si>
  <si>
    <t>Director's Recommendation signed off 12/04/2021</t>
  </si>
  <si>
    <t>DN538605</t>
  </si>
  <si>
    <t>Keiran Owen/Amy Thomas</t>
  </si>
  <si>
    <t>Direct award via YPO/ESPO framework. Amy deals with car parks/Keiran deals with buildings. Contract expiry to coincide with car park contract.</t>
  </si>
  <si>
    <t>08.02.23 Supplier sent copy of signed extension letter. 22.11.22, Amy informed the workstream agreed to take the 1 year extension, 3 months notice required which is . Direct award via YPO/ESPO framework. Amy deals with car parks/Keiran deals with buildings. Contract expiry to coincide with car park contract.</t>
  </si>
  <si>
    <t>Suzanne Williamson / Silas Holland</t>
  </si>
  <si>
    <t>Final 12 month extension in place until 21st April 2022. Speak to service area about re-procurement</t>
  </si>
  <si>
    <t>HP 5700 (Selby DC) - support</t>
  </si>
  <si>
    <t xml:space="preserve">The back up data for this contract is being moved to Switzerland so needs the contract varying. Emailed Sarah Morton and requested GDPR wording from software be sent over before completing a variation. On legal log. BB believes this may not require a variation. Data governance may need to review this. We have asked for their privacy notice and a copy of the contract. Chased Keren. Smoothwall sent over their GDPR regs for legal to check.  Data governance confirmed this was ok to go ahead with. Katie doing a new framework for this. </t>
  </si>
  <si>
    <t>DN531271</t>
  </si>
  <si>
    <t>Direct award via HealthTrust Europe 'ICT Solutions' Framework Agreement.  Support and maintenance will not start until system is installed - scheduled for 27-29 April 2021 so new contract will be needed in approx 3 years.</t>
  </si>
  <si>
    <t>ENCTS Back Office Services (2020 PMO Ref: 2913)
- Card Management Services (CYC and NYCC)
- Card Production Services (CYC and NYCC)
- Host Operator Processing System (HOPS) (NYCC only)
(currently provided by ACT)</t>
  </si>
  <si>
    <t>24+11</t>
  </si>
  <si>
    <t>PROJECT COMPLETED
New line has not been added yet.
(Whole life costs are estimated, based on current volumes, as this is a demand-led service and actual cost may vary).</t>
  </si>
  <si>
    <t>Christina Rushworth (PM) / Lorena Phillips</t>
  </si>
  <si>
    <t>Contract to be extended for 6 months under currrent best value form.</t>
  </si>
  <si>
    <t>Consultancy to review Align Contract fees (Phase 1)</t>
  </si>
  <si>
    <t>Jon Holden / Paula McLean</t>
  </si>
  <si>
    <t>Quote received from Stradia - advice given to run phase 1 as Best Value Form and review for Phase 2.</t>
  </si>
  <si>
    <t>Contract signed off and Yortender/contracts register updated</t>
  </si>
  <si>
    <t>DN537681</t>
  </si>
  <si>
    <t>Contract signed off, Yortender &amp; contracts register updated</t>
  </si>
  <si>
    <t>DN548105</t>
  </si>
  <si>
    <t>GIS and Associated Software (PMO Ref: 2959)
(currently MapInfo Pro, provided by CDR Group)</t>
  </si>
  <si>
    <t>2020 Project paused - PM not yet assigned.  Currently procuring on 12 month rolling contract.  T&amp;C are carrying out analysis on different products which will require procurement support in future.  Awarding new contract for 12 months via Best Value Form whilst 2020 project is completed.</t>
  </si>
  <si>
    <t>Safeguarding Adults Review</t>
  </si>
  <si>
    <t>Laura Watson/Sarah Abram</t>
  </si>
  <si>
    <t>DN552018</t>
  </si>
  <si>
    <t>Railway Tavern HMO building refurb (Norton</t>
  </si>
  <si>
    <t>Transcore Ltd</t>
  </si>
  <si>
    <t>9 Months</t>
  </si>
  <si>
    <t>Tender (QS)</t>
  </si>
  <si>
    <t>Lesley Fargher</t>
  </si>
  <si>
    <t>Hall &amp; Partners ran the tender and drafted contract. Entered on contracts register, legal to executed/sealed the contract 13.07.2021. Full hard copy is at Ryedale House</t>
  </si>
  <si>
    <t>DN546613</t>
  </si>
  <si>
    <t>Purchase of Road Sweeper</t>
  </si>
  <si>
    <t>Scarab Sweepers</t>
  </si>
  <si>
    <t>Direct award call off from ESPO framework for unregistered ex demo model. Glen sealed sent sealed contract 26.05.21</t>
  </si>
  <si>
    <t>12 Months</t>
  </si>
  <si>
    <t>Contract award to boxxe for CSP licences. Call off executed. Service area to raise PO for ongoing requirements</t>
  </si>
  <si>
    <t>DN316953</t>
  </si>
  <si>
    <r>
      <t>36+</t>
    </r>
    <r>
      <rPr>
        <sz val="11"/>
        <color theme="1"/>
        <rFont val="Calibri"/>
        <family val="2"/>
        <scheme val="minor"/>
      </rPr>
      <t>12</t>
    </r>
    <r>
      <rPr>
        <sz val="11"/>
        <rFont val="Calibri"/>
        <family val="2"/>
        <scheme val="minor"/>
      </rPr>
      <t>+</t>
    </r>
    <r>
      <rPr>
        <sz val="11"/>
        <color rgb="FFFF0000"/>
        <rFont val="Calibri"/>
        <family val="2"/>
        <scheme val="minor"/>
      </rPr>
      <t>12</t>
    </r>
    <r>
      <rPr>
        <sz val="11"/>
        <rFont val="Calibri"/>
        <family val="2"/>
        <scheme val="minor"/>
      </rPr>
      <t>+12+12+12+12+12</t>
    </r>
  </si>
  <si>
    <t>Qingzi,Bu / Amanda Alderson</t>
  </si>
  <si>
    <t xml:space="preserve">Extension in place for 12 months from 21st May 2021 - 20th May 2022 </t>
  </si>
  <si>
    <t>Direct awarding via CCS DAS Framework
Previous contract was 01 Jun - 31 May; however,subscription period was 24 May - 23 May.</t>
  </si>
  <si>
    <t>DN551842</t>
  </si>
  <si>
    <t>Supply of Refuse Collection Vehicles</t>
  </si>
  <si>
    <t>Dennis Eagle Ltd</t>
  </si>
  <si>
    <t>Direct award call off from Lincolnshire CC framework as Dennis Eagle is sole supplier with fixed pricing. Sealed by Glen 18.06.21</t>
  </si>
  <si>
    <t>DN542181</t>
  </si>
  <si>
    <t>ICT Support Services Agreement</t>
  </si>
  <si>
    <t>S1 LG (G&amp;S)A 1970</t>
  </si>
  <si>
    <t>Glen has sent signed copy of SLA.</t>
  </si>
  <si>
    <t>DN547022</t>
  </si>
  <si>
    <t>Virtualization support (capitalised)</t>
  </si>
  <si>
    <t>6 Monthly Rolling</t>
  </si>
  <si>
    <t>This is now provider under CTBT05 and CTBT23.  Direct quotation renewed on a 6 monthly basis (billed quarterly). To be reviewed on a 6 monthly before this is renewed to see if compliant routes available. LGR has impacts</t>
  </si>
  <si>
    <t>10+24</t>
  </si>
  <si>
    <t>Contract awarded and implementation begins - contract value is the full total value not the NYCC contribution</t>
  </si>
  <si>
    <r>
      <t>36+</t>
    </r>
    <r>
      <rPr>
        <sz val="11"/>
        <color rgb="FFFF0000"/>
        <rFont val="Calibri"/>
        <family val="2"/>
        <scheme val="minor"/>
      </rPr>
      <t>12</t>
    </r>
    <r>
      <rPr>
        <sz val="11"/>
        <rFont val="Calibri"/>
        <family val="2"/>
        <scheme val="minor"/>
      </rPr>
      <t>+</t>
    </r>
    <r>
      <rPr>
        <sz val="11"/>
        <color theme="1"/>
        <rFont val="Calibri"/>
        <family val="2"/>
        <scheme val="minor"/>
      </rPr>
      <t>12</t>
    </r>
  </si>
  <si>
    <t>Emailed Sarah and Pauline to get some time in with them. Meeting in with Pauline 10th Feb 2021. Draft started and due to send it onto Pauline Smurthwaite. Chased Pauline 24th March. Chased Pauline 12.04.21 for wording. To send to SS to check over before presenting. Going to PAB 14th May. Provisionally approved. Gone back to Sarah to review notes from PAB. All extnsion agreements pulled together. Sarah checking over agreements and sending them onto the providers for review before loading onto Signing Hub. Chased Sarah for update on providers reviewing extension documentation. Sarah on leave until 14th June</t>
  </si>
  <si>
    <t>DN564239</t>
  </si>
  <si>
    <t>Fresh Fruit, Vegetables and Milk Products
(currently supplied by Paynes)</t>
  </si>
  <si>
    <t>5+2</t>
  </si>
  <si>
    <t xml:space="preserve"> DN301921</t>
  </si>
  <si>
    <t>ESS</t>
  </si>
  <si>
    <t>Health Assured Variation - Increased Rate</t>
  </si>
  <si>
    <t xml:space="preserve">Variation signed and completed </t>
  </si>
  <si>
    <t>MA</t>
  </si>
  <si>
    <t>Contract signed - completed</t>
  </si>
  <si>
    <t>DN542519</t>
  </si>
  <si>
    <t>Peer to Peer Support - LEP</t>
  </si>
  <si>
    <t>Andrew Raby</t>
  </si>
  <si>
    <t>Director's recommendation sent to KB for sign off</t>
  </si>
  <si>
    <t xml:space="preserve">MS Licences variation: Microsoft Cloud Service Provider </t>
  </si>
  <si>
    <t>Joel Sanders / Nic Watters</t>
  </si>
  <si>
    <t>Added to be resourced - emails saved here --&gt; N:\FCS-DATA\Procurement\Procurements\PROFESSIONAL\T and C\Licenses\Awarded\Microsoft Licensing Partner 2020-23 DN421761\12) Contract\2021 Contract Variation. Sent Gateway to Stacey to review. Amended and sent to Stacey to review. Licences need to be purchased before 30th April. Meeting with Legal 21st April for Variation wording. Liz drafted variation. Joel sent to Softcat to review. Joel chased supplier for review update. On Signing Hub. Variation signed and completed.</t>
  </si>
  <si>
    <t>Sales Consultancy</t>
  </si>
  <si>
    <t xml:space="preserve">Contract signed and complete. Awarded to Just Williams Consultancy. </t>
  </si>
  <si>
    <r>
      <rPr>
        <b/>
        <sz val="11"/>
        <rFont val="Calibri"/>
        <family val="2"/>
      </rPr>
      <t>Complete</t>
    </r>
    <r>
      <rPr>
        <sz val="11"/>
        <rFont val="Calibri"/>
        <family val="2"/>
      </rPr>
      <t xml:space="preserve"> - Invoice total £2830</t>
    </r>
  </si>
  <si>
    <t>OTE to 20/06/21 fully signed off.  NFA until Jan 21.</t>
  </si>
  <si>
    <t>Signed contract received from BNY Mellon - YORtender and Contracts Register updated</t>
  </si>
  <si>
    <t>TEN (Risk Management) Mitratech/ Hitec Ltd</t>
  </si>
  <si>
    <r>
      <t>24+24+</t>
    </r>
    <r>
      <rPr>
        <sz val="11"/>
        <color rgb="FFFF0000"/>
        <rFont val="Calibri"/>
        <family val="2"/>
        <scheme val="minor"/>
      </rPr>
      <t>24</t>
    </r>
  </si>
  <si>
    <t>Lorena Phillips / Fiona Sowerby</t>
  </si>
  <si>
    <t>Hitec refused to sign an extension agreement as this is a rolling contract and they are prepared to continue services until the end of the contract - July 2023.</t>
  </si>
  <si>
    <t>Contactless Payments for Buses</t>
  </si>
  <si>
    <t>Andrew Sharpin / Cath Ritchie</t>
  </si>
  <si>
    <t>Meeting with Cath Ritchie, Andrew Sharpin, Lesley Watkinson and Mark Dixon. New requirement. Public Health and H&amp;S have stated that no cash should be taken on buses, current ticket machines cannot be updated to take contactless payments. Procurement only just involved, some previous discussions have been held. Finance have approached Civica and Lloyds for pricing. Advised if over £25k will need to follow a process, BVF to be completed if under. Looking to trial on 2 buses initially. Christopher Jones now picking this up - liaising with Cath Ritchie to confirm status of the project.</t>
  </si>
  <si>
    <t xml:space="preserve">Adam Gray / Emma Lonsdale </t>
  </si>
  <si>
    <r>
      <t>Extension done for 2021-22 -Signed -</t>
    </r>
    <r>
      <rPr>
        <b/>
        <sz val="11"/>
        <rFont val="Calibri"/>
        <family val="2"/>
        <scheme val="minor"/>
      </rPr>
      <t>Complete</t>
    </r>
  </si>
  <si>
    <t xml:space="preserve">NYCC Care Home (Nursing &amp; Residential) Approved Provider List </t>
  </si>
  <si>
    <t>HASLT: 11/03/2021
HAS EX: 09/04/2021</t>
  </si>
  <si>
    <t>Janine Tranmer/Helen Thirkell/Dale Owens</t>
  </si>
  <si>
    <t>NYCC Domiciliary Care and Other Regulated Services Approved Provider List</t>
  </si>
  <si>
    <t>Janine Tranmer/Mike Rudd/Dale Owens</t>
  </si>
  <si>
    <t xml:space="preserve">SPS Doorguard </t>
  </si>
  <si>
    <r>
      <t xml:space="preserve">01/01/2021 - </t>
    </r>
    <r>
      <rPr>
        <b/>
        <sz val="11"/>
        <color rgb="FFFF0000"/>
        <rFont val="Calibri"/>
        <family val="2"/>
        <scheme val="minor"/>
      </rPr>
      <t>overtype by SCM</t>
    </r>
  </si>
  <si>
    <t>DN554354</t>
  </si>
  <si>
    <t>Direct quotation under 5k spend. NK reviewed T&amp;C's CN happy. Contrat auto renews if not cancelled 30 days before end date.</t>
  </si>
  <si>
    <t>Huq Industries Limited</t>
  </si>
  <si>
    <t>Craig informed this has been renewed for another year. Direct quotation, now 10k in value so 2 further quotes should have been sought. NK reviewed T&amp;C's CN happy. Contract auto renews if not cancelled 30 days before end date.</t>
  </si>
  <si>
    <t>DN560737</t>
  </si>
  <si>
    <t>IoT Programme: Smart Place
Consultancy</t>
  </si>
  <si>
    <t>DN558029</t>
  </si>
  <si>
    <t>Sharepoint Online Intranet</t>
  </si>
  <si>
    <t>Phoenix Software Ltd</t>
  </si>
  <si>
    <t>KCS Framework</t>
  </si>
  <si>
    <t xml:space="preserve">Direct award via KCS framework. One off procurement. Support maybe required, this will be a separate call off. </t>
  </si>
  <si>
    <t xml:space="preserve">DN511175 </t>
  </si>
  <si>
    <t>EdTech Partner</t>
  </si>
  <si>
    <t>Louise Burke / Keren Wild / Claire Preston</t>
  </si>
  <si>
    <t xml:space="preserve">Pension Fund Equity Protection </t>
  </si>
  <si>
    <t>Not clear if this needs extending now or next year? CW need to check with service area.
Two protection agreements were put in place; 
One expiring July 2020 - LGIM (1 year) - This was extended. 
One expiring Jan 2021 (18months) - LGIM
Decision point in Nov - will protection be needed for longer?  The gateway provided for a  2 year period  however an extension may be needed because markets have crashed as a result of Covid-19. A change would incur huge transaction fees so an extension may be required. Clarity on this point should be gained on Fri 27th Nov. Will need a gate 4. Meeting to be had in May/June for the decision on this. VM suggested pulling paperwork together beforehand so we can get it to PAB asap after the meeting. Tight turn around. Chased Qingzi for details. Chased Amanda Alderson and Qingzi again
Meeting with Tom on 24th May to discuss gateway and committee meeting. Tom is 99% sure this will expire as the committee not longer want the insurance for the equity. Not wanting this extension. Contract expiring in July 2021</t>
  </si>
  <si>
    <r>
      <t>24+</t>
    </r>
    <r>
      <rPr>
        <sz val="11"/>
        <color rgb="FFFF0000"/>
        <rFont val="Calibri"/>
        <family val="2"/>
        <scheme val="minor"/>
      </rPr>
      <t>12</t>
    </r>
    <r>
      <rPr>
        <sz val="11"/>
        <rFont val="Calibri"/>
        <family val="2"/>
        <scheme val="minor"/>
      </rPr>
      <t>+</t>
    </r>
    <r>
      <rPr>
        <sz val="11"/>
        <color theme="1"/>
        <rFont val="Calibri"/>
        <family val="2"/>
        <scheme val="minor"/>
      </rPr>
      <t>12</t>
    </r>
  </si>
  <si>
    <t>Emailed Silas. Speak to Louise W closer to the time. Already confirmed to go ahead with this. Meeting on 2nd March 2021. We want to extend. Extension drafted and ready to go. Comminicate with Michaela. Not due until July. Chased Chris and Adrian at Ascertia. Chased Chris and Adrian for update on the review for this. Asked Michaela if we have any other contacts at Ascertia to chase. Chased Adrian at Ascertia for email address. On signing hub. Signed and completed</t>
  </si>
  <si>
    <t>Service area proceeded with DR without Procurement's knowledge.</t>
  </si>
  <si>
    <r>
      <rPr>
        <sz val="11"/>
        <color rgb="FFFF0000"/>
        <rFont val="Calibri"/>
        <family val="2"/>
      </rPr>
      <t>24</t>
    </r>
    <r>
      <rPr>
        <sz val="11"/>
        <rFont val="Calibri"/>
        <family val="2"/>
      </rPr>
      <t>+12+12</t>
    </r>
  </si>
  <si>
    <t>PROJECT COMPLETED
Direct Award under the CCS G-Cloud 12 Framework Agreement
Contract value specified is only for the initial contract term of 24 months.</t>
  </si>
  <si>
    <t>New procurement for this starting August 2021 to cally the contract through the exclusion period</t>
  </si>
  <si>
    <r>
      <t>24+</t>
    </r>
    <r>
      <rPr>
        <sz val="11"/>
        <color rgb="FFFF0000"/>
        <rFont val="Calibri"/>
        <family val="2"/>
        <scheme val="minor"/>
      </rPr>
      <t>12+</t>
    </r>
    <r>
      <rPr>
        <sz val="11"/>
        <rFont val="Calibri"/>
        <family val="2"/>
        <scheme val="minor"/>
      </rPr>
      <t>12</t>
    </r>
  </si>
  <si>
    <t xml:space="preserve"> Donna Stevenson</t>
  </si>
  <si>
    <t>OTE 1 signed off.  OTE 2 available.  NFA until August 2021</t>
  </si>
  <si>
    <t>DN338826</t>
  </si>
  <si>
    <t>Tribal provided a renewal confirming dates. This has been agreed that we can add extra year onto contract to 2024.</t>
  </si>
  <si>
    <t>120</t>
  </si>
  <si>
    <t>Shaun Mancrief / Amanda Manifield</t>
  </si>
  <si>
    <t>G4 fully approved 27/07/21</t>
  </si>
  <si>
    <t>Contract signed and Contracts Register updated</t>
  </si>
  <si>
    <t>Contract signed and records updated</t>
  </si>
  <si>
    <t xml:space="preserve">Completed and published on Yortender. </t>
  </si>
  <si>
    <t>Digital EHCPs System (PMO Ref: 2937)</t>
  </si>
  <si>
    <t>8+12</t>
  </si>
  <si>
    <t>Alice Wild / Nikki Joyce</t>
  </si>
  <si>
    <t xml:space="preserve">Variation signed and complete. </t>
  </si>
  <si>
    <t>Afghan LES Relocation Scheme</t>
  </si>
  <si>
    <t xml:space="preserve">Refugee Council (via Leeds City Council) </t>
  </si>
  <si>
    <t>TBC - Urgency has been used</t>
  </si>
  <si>
    <t xml:space="preserve">New partnership agreement in draft stage with Refuge Council (other names) via Leeds CC (who are drawing up the agreement) - Rosie W &amp; Gemma attending meeting with some outstanding queries. Previously thought to be a contract variation to the existing Refugee Scheme but not. Rosie to provide details and emails to the resourced CPO. </t>
  </si>
  <si>
    <t>DN560327</t>
  </si>
  <si>
    <t>Waste &amp; Environment Strategy Consultancy</t>
  </si>
  <si>
    <t>Peopletoo via Reed Consultancy +</t>
  </si>
  <si>
    <t>Contract awarded to Peopletoo via Reed consultancy+. Contract docs executed 06.08.21.</t>
  </si>
  <si>
    <r>
      <t>24+12+</t>
    </r>
    <r>
      <rPr>
        <sz val="11"/>
        <color rgb="FFFF0000"/>
        <rFont val="Calibri"/>
        <family val="2"/>
      </rPr>
      <t>12</t>
    </r>
    <r>
      <rPr>
        <sz val="11"/>
        <rFont val="Calibri"/>
        <family val="2"/>
      </rPr>
      <t>+12</t>
    </r>
  </si>
  <si>
    <t>OTE3 - check with Stacey re email from Becky N about the initial term expiring 26 Sept 2019. Both lines say contract extensions, I read this line as 2nd contract extension to be sorted for 2020-21? No official contract in place. Email Chloe L from YPO if we decide to continue services after September 2020. Speak to Nic Watters. Joining Katies meeting on 10th March. KL &amp; VM to speak to SS to see if GW4 is necessary as there is no contract in place and Schools ICT wish to start looking for new framwork asap. No warranty detials are provided by YPO which puts us at risk if things go wrong and no training is being provided even though it is included in the cost. GW4 required. Emailed Nic explaining. Emailed Chloe Lynn 18.03.2020 GW4 sent to Nic and Keren 18.03.2020 Chased Nic Chased Nic again 06/04/2020. Chased Nic 28.04 Chased again 20/05/2020 GW4 sent to stacey 17.06.2020. Chloe confirming who would sign it off at YPO. PAB Approved.</t>
  </si>
  <si>
    <t>DN563377</t>
  </si>
  <si>
    <t>IoT Programme: Smart Place Innovation Pack
Air Quality
Smart Bins
Pedestrian Monitoring</t>
  </si>
  <si>
    <t xml:space="preserve">Order form signed and complete. (Two x 12 months extensions available). </t>
  </si>
  <si>
    <t>Unix Hardware Maintenance (Currently Solaris)</t>
  </si>
  <si>
    <t>Need to review cumulative spend for contract.</t>
  </si>
  <si>
    <t>Whole life costs are for initial term only.
Separate Oracle support contract needs to be finalised with Oracle (or reseller) and separate row needs adding.</t>
  </si>
  <si>
    <t>DN343979</t>
  </si>
  <si>
    <t>Gateway 4 approved. Agreement signed. Cannot change this to closed or non active. In place until August 2023</t>
  </si>
  <si>
    <r>
      <t>24+12+</t>
    </r>
    <r>
      <rPr>
        <sz val="11"/>
        <color theme="1"/>
        <rFont val="Calibri"/>
        <family val="2"/>
        <scheme val="minor"/>
      </rPr>
      <t>12</t>
    </r>
    <r>
      <rPr>
        <sz val="11"/>
        <rFont val="Calibri"/>
        <family val="2"/>
        <scheme val="minor"/>
      </rPr>
      <t>+</t>
    </r>
    <r>
      <rPr>
        <sz val="11"/>
        <color theme="1"/>
        <rFont val="Calibri"/>
        <family val="2"/>
        <scheme val="minor"/>
      </rPr>
      <t>12</t>
    </r>
    <r>
      <rPr>
        <sz val="11"/>
        <rFont val="Calibri"/>
        <family val="2"/>
        <scheme val="minor"/>
      </rPr>
      <t>+</t>
    </r>
    <r>
      <rPr>
        <sz val="11"/>
        <color theme="1"/>
        <rFont val="Calibri"/>
        <family val="2"/>
        <scheme val="minor"/>
      </rPr>
      <t>12+</t>
    </r>
    <r>
      <rPr>
        <sz val="11"/>
        <color rgb="FFFF0000"/>
        <rFont val="Calibri"/>
        <family val="2"/>
        <scheme val="minor"/>
      </rPr>
      <t>12</t>
    </r>
  </si>
  <si>
    <t xml:space="preserve">Extension signed until 2022. BV to go in place in 2022 to carry it past 2024. </t>
  </si>
  <si>
    <r>
      <t>24+</t>
    </r>
    <r>
      <rPr>
        <sz val="11"/>
        <rFont val="Calibri"/>
        <family val="2"/>
        <scheme val="minor"/>
      </rPr>
      <t>12+</t>
    </r>
    <r>
      <rPr>
        <sz val="11"/>
        <color rgb="FFFF0000"/>
        <rFont val="Calibri"/>
        <family val="2"/>
        <scheme val="minor"/>
      </rPr>
      <t>12</t>
    </r>
    <r>
      <rPr>
        <sz val="11"/>
        <rFont val="Calibri"/>
        <family val="2"/>
        <scheme val="minor"/>
      </rPr>
      <t>+12</t>
    </r>
  </si>
  <si>
    <t>Speak to Nic Watters in 2020. Insight. Schools ICT. Nic to go through Insight framework - Speaking with Andrew Lambert. Yes they would like to extend. VM to pull together gateway 4 and send to Keren, Nic and Mark Smith for technical wording. GW4 sent to Nic, Keren and Mark for input. Not urgent but could do with Gateway working from Schools ICT so the gateway can go through as soon as able. Stacey is aware of this project. Chased the gateway with Mark Smith on 28th April. Costs to come back from Jonny West. Approved and on signing hub. Key decision officially signed off. Sent reminder to Robert Ling again. Emailed RL. SIGNED OFF ON SIGNING HUB</t>
  </si>
  <si>
    <t>Corporate Systems / School's ICT</t>
  </si>
  <si>
    <t>Special Educational Needs Home to School Transport (x3 schools)
- Springhead School, Scarborough
- Mowbray School, Bedale
- Welburn Hall School, Kirkbymoorside</t>
  </si>
  <si>
    <r>
      <t>36+</t>
    </r>
    <r>
      <rPr>
        <sz val="11"/>
        <color rgb="FFFF0000"/>
        <rFont val="Calibri"/>
        <family val="2"/>
      </rPr>
      <t>12</t>
    </r>
  </si>
  <si>
    <t>DN566869</t>
  </si>
  <si>
    <t>4 x Low floor minibuses</t>
  </si>
  <si>
    <t>Contract signed and contracts register and finder updated.</t>
  </si>
  <si>
    <t xml:space="preserve">Intermediate beds pilot </t>
  </si>
  <si>
    <t>06/05/2021 - HASLT
14/05/2021 - HAS Exec</t>
  </si>
  <si>
    <t>Deborah Walton / Craig Rowbotham</t>
  </si>
  <si>
    <t>SALT - Coastal opportunities</t>
  </si>
  <si>
    <r>
      <t xml:space="preserve">04/12/2020 - </t>
    </r>
    <r>
      <rPr>
        <b/>
        <sz val="11"/>
        <color rgb="FFFF0000"/>
        <rFont val="Calibri"/>
        <family val="2"/>
        <scheme val="minor"/>
      </rPr>
      <t>overtyped by SCM</t>
    </r>
  </si>
  <si>
    <t>BESEX 26 March 2021</t>
  </si>
  <si>
    <t>Laura Baxter /Alison Dickinson</t>
  </si>
  <si>
    <t>DN566551</t>
  </si>
  <si>
    <t>Water and waste water services</t>
  </si>
  <si>
    <t>Castle Water Ltd</t>
  </si>
  <si>
    <t>Call off executed</t>
  </si>
  <si>
    <t>DN563629</t>
  </si>
  <si>
    <t>Postal Services (bulk mailings)</t>
  </si>
  <si>
    <t>Jenny Knowles</t>
  </si>
  <si>
    <t xml:space="preserve">Call off executed following further comp via Kirklees/YPO. </t>
  </si>
  <si>
    <t>DN569129</t>
  </si>
  <si>
    <t>Prep (Anti-HIV drug)</t>
  </si>
  <si>
    <t>Magpie Creative Communications Ltd</t>
  </si>
  <si>
    <t>Emma Davis</t>
  </si>
  <si>
    <t>13/12/2022 - Contract Signed &amp; Closed off YORtender
01/12/2022 - Contract uploaded to SiginingHub
16/11/2022 - All amendments made. Service area has sent to Magpie's legal team to review
11/11/2022 - Contract returned from Service Area and back to legal with queries
04/11/2022 - Contract sent to Emma to review
03/11/2022 - Contract returned from Legan and completed.
21/10/2022 - Checklist sent to legal to complete the T&amp;C's
20/10/2022 - Meeting had with Emma and Eleanor to work complett the checklist for the T&amp;C's
13/10/2022 - Emailed Emma to set up a meeting to compete the contract checklist
10/10/2022 - Contact made with Legal to see where we are with the T&amp;C's
13/09/2022 - Contract to be issued and rtn.  requires minimal handover
13/09/2022 - Contract on leagal request log, contact made with supplier
31/08/2022 Notification letter sent
30/06/2022 Specification and questions drated
Kick off meeting arragned for  20/06</t>
  </si>
  <si>
    <t>DN566290</t>
  </si>
  <si>
    <t>Supply of Office Furniture at Ryedale House</t>
  </si>
  <si>
    <t>Ken Waller</t>
  </si>
  <si>
    <t>Mini competition run by YPO. Gresham awarded on price. Call off executed</t>
  </si>
  <si>
    <t>DN541367</t>
  </si>
  <si>
    <t>18/02/2021 - HASLT 
12/03/2021 -  HAS Exec</t>
  </si>
  <si>
    <t>YES</t>
  </si>
  <si>
    <t xml:space="preserve">YPO TO RUN PROCUREMENT through their own DPS Sarah Sesum YPO Cat Man Agnieszka.Gajli@ypo.co.uk Cat Man YPO            
Needs to be procured working with the  Broker. To be assigned in new year on the basis that this will primarily be lead by the Broker and the broker contract starts on 1st Jan. Spoke to Louise and Fiona - they would like me to check if extending current agreement is an option, otherwise to enure that we have break clauses/novation options written into new agreement considering LGR outcome.  I am speaking to legal Monday 26th April to discuss options.  07/05 - After discussion with Legal, we might have a strong case to extend this agreement.  Legal awaiting some cost info from Service area before we can formalise.
Gateway document taken to PAB 06/08. Key Decision signed off 23/08.  Extension to go ahead. Chased this again. Chased Louise again for contact detials. Emailed Tracey Smith and Petula Wilkin to chase this as not getting anything back from Louise. </t>
  </si>
  <si>
    <t>System is provided by PayGate.  Contract with boxxe as a re-seller.  Direct award via KCS Software Products and Associated Services 2 (Y20011) Framework Agreement.</t>
  </si>
  <si>
    <t xml:space="preserve">
DN198550</t>
  </si>
  <si>
    <r>
      <t>60+</t>
    </r>
    <r>
      <rPr>
        <sz val="11"/>
        <color rgb="FFFF0000"/>
        <rFont val="Calibri"/>
        <family val="2"/>
        <scheme val="minor"/>
      </rPr>
      <t>60</t>
    </r>
  </si>
  <si>
    <t xml:space="preserve">Quote received. VM checked with Natalie if any communication has gone ahead to start negotiation on prices and timelines around LGR. Zoe CHased Larry to discuss discounted rates for the extension. Chased ZH &amp; NC for update. Contacted Larry directly. Need to include quote in extension before sign off.  Chased Larry again </t>
  </si>
  <si>
    <t xml:space="preserve">Framework agreement and call-off signed. Complete. </t>
  </si>
  <si>
    <t xml:space="preserve">Young Peoples Pathway - Emergency &amp; Extended Supported Lodgings </t>
  </si>
  <si>
    <t>6 July 21 -Urgney notice issued</t>
  </si>
  <si>
    <t>Key decision taken for orginal procurement 2 March 2018</t>
  </si>
  <si>
    <r>
      <t xml:space="preserve">The Beacon (specifically for ex-forces) - </t>
    </r>
    <r>
      <rPr>
        <sz val="11"/>
        <color rgb="FFFF0000"/>
        <rFont val="Calibri"/>
        <family val="2"/>
        <scheme val="minor"/>
      </rPr>
      <t>service being de-commissioned</t>
    </r>
  </si>
  <si>
    <t>Resource request</t>
  </si>
  <si>
    <t>N/A - service being decommissioned</t>
  </si>
  <si>
    <t>18/03/2021- HASLT
09/04/2021 - HAS Exec</t>
  </si>
  <si>
    <t>Young Peoples Pathway -Prevention &amp; Reconnection</t>
  </si>
  <si>
    <t>Young Peoples Pathway - Managed Accommodation</t>
  </si>
  <si>
    <r>
      <t>60+</t>
    </r>
    <r>
      <rPr>
        <sz val="11"/>
        <color rgb="FFFF0000"/>
        <rFont val="Calibri"/>
        <family val="2"/>
      </rPr>
      <t>24</t>
    </r>
  </si>
  <si>
    <t>12/01/2021
04/2021</t>
  </si>
  <si>
    <t>7 District Masterplans (North Yorkshire)</t>
  </si>
  <si>
    <t xml:space="preserve">Michael Reynolds </t>
  </si>
  <si>
    <t xml:space="preserve">Chased Jan 22 with Michael. Closed in all but name now. </t>
  </si>
  <si>
    <t>BVF.</t>
  </si>
  <si>
    <t>DN563912</t>
  </si>
  <si>
    <t>Award via G Cloud. Call off executed</t>
  </si>
  <si>
    <t>Supplier returned confirmation of extension as per Alison Szustakowski request</t>
  </si>
  <si>
    <t>DN560044</t>
  </si>
  <si>
    <t>Order form signed 11/01/22</t>
  </si>
  <si>
    <t>1st year extension taken.1 further extensions available to tie in with insurance cover procurement and LGR</t>
  </si>
  <si>
    <r>
      <t>60+</t>
    </r>
    <r>
      <rPr>
        <sz val="11"/>
        <color rgb="FFFF0000"/>
        <rFont val="Calibri"/>
        <family val="2"/>
        <scheme val="minor"/>
      </rPr>
      <t>36</t>
    </r>
    <r>
      <rPr>
        <sz val="11"/>
        <rFont val="Calibri"/>
        <family val="2"/>
        <scheme val="minor"/>
      </rPr>
      <t>+24</t>
    </r>
  </si>
  <si>
    <t xml:space="preserve">Sat with legal to look over with regards to redundancy fees. Jon H to have discussion with Gary and Howard around paying a percentage of the redundacy fee and get back to VM. Chased Jon for an update as this may not need an extension. This contract was due to be terminated. This was terminated </t>
  </si>
  <si>
    <t>DN576853</t>
  </si>
  <si>
    <t>Supply &amp; Installation of Play Equipment to Include Surfacing at Riverside View, Norton</t>
  </si>
  <si>
    <t>Streetscape (Products &amp; Services) Ltd</t>
  </si>
  <si>
    <t>Louise Wood informed that 3 quotations had been sought directly. Ken Waller informed of sucessful supplier and the contract would be on the supplier terms as done directly. Added to contracts register with approx dates, waiting for a copy of the contract.</t>
  </si>
  <si>
    <t>UTC element to be progressed through CCS market place, Yunex to advise regarding contracting for Stratos element. To be taken to BES EXEC in July - Delayed until August - Update requested 18/08/2022 &amp; 07/09/2022. Escalated to SS - Still no further correspondence</t>
  </si>
  <si>
    <t>Andrew Sharpin / Silas Holland / Karen Wilson</t>
  </si>
  <si>
    <t xml:space="preserve">Discussions taking place shortly between Claire Cooper (PM) and Fleet in relation to extending contract early as we may be looking to purchase additional devices for NY Highways and many want to co-terminate the contracts together. Richard S pulling together variation and extension as one document. VM to support if needed. Richard Seddon taking this on alongside the variation. </t>
  </si>
  <si>
    <t xml:space="preserve">John and David Small confirmed they were happy to extend contract for a further 12 months running until October 2024. Paper work pulled together and under review before signing. Confirmation to come from David. David confirmed we can extend but the pricing will match whats on the framework. Extension on signing hub </t>
  </si>
  <si>
    <t>Health and Safety Management System. Gateway</t>
  </si>
  <si>
    <t xml:space="preserve">Extension for 24 months signed and completed. Contract in place until October 2024 with a potential provision for a further 12 months until 2025. </t>
  </si>
  <si>
    <t>DN557307</t>
  </si>
  <si>
    <t>Library Shelving</t>
  </si>
  <si>
    <t>Contract signed, Yortender and notices updated.</t>
  </si>
  <si>
    <t>Consultancy to review Align Contract fees (Phase 2)</t>
  </si>
  <si>
    <t>Chased JH to sign Contract on Signinghub</t>
  </si>
  <si>
    <t>Instructed NW to sort out</t>
  </si>
  <si>
    <t>DN362445</t>
  </si>
  <si>
    <r>
      <t>24+</t>
    </r>
    <r>
      <rPr>
        <sz val="11"/>
        <color rgb="FFFF0000"/>
        <rFont val="Calibri"/>
        <family val="2"/>
        <scheme val="minor"/>
      </rPr>
      <t>12+12</t>
    </r>
  </si>
  <si>
    <t xml:space="preserve">VM Note: Extension signed 10th September 2020. Extension in place from 1st Nov 2020 - 31st October 2021 </t>
  </si>
  <si>
    <t xml:space="preserve">This runs out in October 2021. No more extensions available. Schools ICT tp direct award </t>
  </si>
  <si>
    <t>Service Area to complete via BVF.</t>
  </si>
  <si>
    <t>Renewal of Pobble - Pupil Engagement tool</t>
  </si>
  <si>
    <t>Closed as DR signed off</t>
  </si>
  <si>
    <t>Contract signed, contracts register and finder records created.</t>
  </si>
  <si>
    <t>Current contract 01/11/2011 to 31/10/2021, ~£3,000 maintainance, sporadic costs as used to televise via various mediums, such as the fracking decisions.</t>
  </si>
  <si>
    <t>DN572849</t>
  </si>
  <si>
    <t>Food Safety Inspections</t>
  </si>
  <si>
    <t>Invitation to Bid (Closed)</t>
  </si>
  <si>
    <t>DMG Food Safety Solutions Ltd successful provider, contract executed 04.11.21. Due to pricing no of visits needs to be reduced to fit in with £10k annual budget</t>
  </si>
  <si>
    <t>Extension letter signed. 12 months taken</t>
  </si>
  <si>
    <t>DN582149</t>
  </si>
  <si>
    <t>2 x Demo Low Floor Vehicles</t>
  </si>
  <si>
    <t>Completed &amp; contract register updated.</t>
  </si>
  <si>
    <t>Call off for last two years of framework executed. The first two years was never executed.</t>
  </si>
  <si>
    <t>DN571518</t>
  </si>
  <si>
    <t>Direct award via Northern Housing Consortium Framework. Contract executed 22.09.21</t>
  </si>
  <si>
    <t>DN351073</t>
  </si>
  <si>
    <t>Silas Holland / David Hunt</t>
  </si>
  <si>
    <t>Original contract linked to HMC2012, requirement still required? Spoken with David Hunt re extension. Speak with GP as to whether or not we extend this contract by 24 months. This was extended in Nov 2019 for 24 months. In place until Nov 2021.</t>
  </si>
  <si>
    <t>ID: 26688
Ref: 48770</t>
  </si>
  <si>
    <t>Highways Asset Management System
(currently Insight, provided by Symology) PMO Ref: 3175</t>
  </si>
  <si>
    <t>Gary Cochrane (PM) / David Hunt (BES) / Christopher Taylor (T&amp;C)</t>
  </si>
  <si>
    <t>Used by NYCC and NY Highways.  Direct award via G-Cloud.
Contract signed and records updated.</t>
  </si>
  <si>
    <t>DR signed 29/11</t>
  </si>
  <si>
    <t>LGC EMAPs Subscription (from 01 Dec 2021)</t>
  </si>
  <si>
    <t>Updated quote received for 2 year subscription renewal.  Once Amanda confirms she is happy with this, will proceed with PO &amp; contract signature
PO placed and renewal in place for 2 years</t>
  </si>
  <si>
    <t>DN566045</t>
  </si>
  <si>
    <t>Economic Partnership Unit</t>
  </si>
  <si>
    <t>Community Renewal Fund - Application 20
WP2.3c: Decarbonising Community Buildings - Feasibility Studies / Assessments</t>
  </si>
  <si>
    <t>Katie Privett / Jos Holmes</t>
  </si>
  <si>
    <t>LGR Consultancy</t>
  </si>
  <si>
    <t>Gary Fielding / Kevin Draisey</t>
  </si>
  <si>
    <t>17/02 - all contracts are signed for the 4 successful suppliers.  This has been manually added to contracts finder.  Now also added to the contracts register</t>
  </si>
  <si>
    <t>Email - HASLT 
14/05/2021 - HAS Exec</t>
  </si>
  <si>
    <t>Community Renewal Fund - Application 20
WP1: Procurement of External Consultants - Local Area Energy Plans</t>
  </si>
  <si>
    <t xml:space="preserve">Order form signed. To close. </t>
  </si>
  <si>
    <t>Telephony - Corporate Mobile Phones (Virgin / EE) Smartphone and basic mobile contracts</t>
  </si>
  <si>
    <t>£1,321,200 (less 550,000 tech fund)</t>
  </si>
  <si>
    <t>Recieved comms from EE</t>
  </si>
  <si>
    <t>Strategic Housing Market Assessement (SHMA) Strategic Housing Market Assessment (SHMA)</t>
  </si>
  <si>
    <t>Opinion Research Services Ltd</t>
  </si>
  <si>
    <t>Direct Award to 'ORS' via ESPO consultancy framework as they have undertaken for SBC and Hambleton and short timescales</t>
  </si>
  <si>
    <t>Gypsy &amp;Traveller Accommodation Assessment (GTAA) Consultancy</t>
  </si>
  <si>
    <t>Extension signed until December 2023</t>
  </si>
  <si>
    <t>Printed cheques</t>
  </si>
  <si>
    <t>12.01.2021 DR approved for 10 months to cover the immediate need to purchase this years Cheques, we need to run a compliant ITB to commence March 2021, with contract award mid December 2021
ITB docs drafted - dealys from Sharp Prichard on the T&amp;C's which need a futher review this has caused a delay from Oct 2020, so we are not able to get a new contract in place for Jan. Laura talking to Paul re need for DR to cover the 2021-22 requirement to bridge the gap between us getting out to open tender.
Working with external legal to finalise the contract. Then will be ready to issue ITB. Working with L Baxter. Query whether Laura is comfortable to lead from point at which documents are finalised. LB &amp; SM have populated the Project Plan.  Meeting with Paul &amp; Helen scheduled for Wednesday 24/03.  ITB and Contract drafts sent to Paul &amp; Helen for final review before they are issued out.  Plan to issue out the ITB 30/04.  07/05 - This is now live on YORtender, submissions due back at the end of May.
Contract drafted 20/08
Contract signed.</t>
  </si>
  <si>
    <t>Microsoft Teams room based video conferencing facilities</t>
  </si>
  <si>
    <t>Just under threshold</t>
  </si>
  <si>
    <t xml:space="preserve">23/03 Contract signed by both parties.  Contracts register &amp; Mercell updated.
17/02
Following an RFI process using CCS NS2 framework, Andy has told VideoCommunications to proceed with works.  No contract in place but using this framework.  Retrospectively trying to get a contract in place to cover spend to date as expected to be well under threshold.
"We’re working with Property with regards to the potential return to offices in the Autumn and ensuring that our meeting room spaces are fit for purpose with regards to supporting hybrid working.
An element of that will be to provide Microsoft Teams room based video conferencing facilities allowing staff working from home or remotely to fully participate in on site meetings.
We’re hoping that there’s a suitable framework lot that we could issue an RFI on and get some service offers."
19/08/2021 - RFI issued out to 25 suppliers on Lot 8 of CCS Network Services 2 Framework to get an idea of costs etc.
</t>
  </si>
  <si>
    <t>Exception approved for 2 years/ Looked at G Cloud but costs are significantly higher. DF29 merged with DF41</t>
  </si>
  <si>
    <t>£12,400 per ammun. Original first year cost was high, but rolling it is £12,400. Stacey has advised Steve to sort any rolling contracts belwo 25k to sort themselves and we will look at procuring next year. The current contract runs to December 2021. Need to message Steve to see if he wants to sort this himself, if it is like for like. Based on his conversation with Stacey. So effectivley he can extend this himself to Dec 2022. Steve happy to arrange himself - will keep me updated if Procurement help is required 31/03</t>
  </si>
  <si>
    <t>DN537298</t>
  </si>
  <si>
    <t>Catering Traded Service MI System
(currently Saffron, provided by Fretwell Downing Hospitality)</t>
  </si>
  <si>
    <t>Shaun Mancrief / Lorena Phillips</t>
  </si>
  <si>
    <t>DN330227</t>
  </si>
  <si>
    <t>Marcus Lee informed of contract following request. Currently on an annual quote basis on supplier T&amp;C's (no contract). Laura Baxter looking at this for LGR</t>
  </si>
  <si>
    <t>Pomoc Project</t>
  </si>
  <si>
    <t>Service Level Agreement</t>
  </si>
  <si>
    <t>Jennie Young</t>
  </si>
  <si>
    <t>Added  to contracts register and LGR FPP</t>
  </si>
  <si>
    <t>DN378275</t>
  </si>
  <si>
    <t>Christopher Taylor / John D Smith</t>
  </si>
  <si>
    <t xml:space="preserve">Final 12 month extension signed. </t>
  </si>
  <si>
    <t xml:space="preserve">Bridge and Structure Asset Management System
(currently provided by AMX) </t>
  </si>
  <si>
    <t xml:space="preserve">Contract Extension </t>
  </si>
  <si>
    <t xml:space="preserve">Silas Holland/ Karen Wilson, John D Smith </t>
  </si>
  <si>
    <t xml:space="preserve">Consideration is being given to not moving some of the funds into the 'pool', therefore if this is the case, this will become a procurement requirement. Clarity on this point should be gained on Fri 27th. On signing Hub. Signed and sent to Silas and John. </t>
  </si>
  <si>
    <t>Business Systems</t>
  </si>
  <si>
    <t>Winter Health - Warm and Well</t>
  </si>
  <si>
    <r>
      <rPr>
        <sz val="10"/>
        <color rgb="FFFF0000"/>
        <rFont val="Calibri"/>
        <family val="2"/>
      </rPr>
      <t xml:space="preserve">File path: N:\fcs-data\Procurement\PEOPLE\Winter Health\Winter Health 2021+
</t>
    </r>
    <r>
      <rPr>
        <sz val="10"/>
        <color rgb="FF000000"/>
        <rFont val="Calibri"/>
        <family val="2"/>
      </rPr>
      <t>This has subsequently been dealt with by AD and service area has confirmed that the matter is closed.</t>
    </r>
  </si>
  <si>
    <t>39+24</t>
  </si>
  <si>
    <t>OTE1 to 31 January 2022 fully signed.  NFA until April 21.</t>
  </si>
  <si>
    <t>ANS - Managed Service Support</t>
  </si>
  <si>
    <t xml:space="preserve">This was recommended in Resource Meeting to be a best value form keeping it under 25k threshold. Check with Stacey </t>
  </si>
  <si>
    <t>Align PP Contract Review - Phase 2</t>
  </si>
  <si>
    <t>Contract Signed</t>
  </si>
  <si>
    <t>04/05 Contract saved in folder and added to contracts register. 
Waiver signed/approved 21/02</t>
  </si>
  <si>
    <t>NYCC Non Regulated Services  Approved Provider List</t>
  </si>
  <si>
    <t>HASLT: 11/03/2021 
HAS EX: 09/04/2021</t>
  </si>
  <si>
    <t>Phamaceutical Needs Assessment (PNA) - Public Health Assessment</t>
  </si>
  <si>
    <t>Provider in place- contract being drawn up with CYC.</t>
  </si>
  <si>
    <t xml:space="preserve">Recommendation 5 -  Adults Safeguarding review </t>
  </si>
  <si>
    <t>Process completed, contract being drawn up between service area and legal.</t>
  </si>
  <si>
    <t xml:space="preserve">Supported Housing Adults Safeguarding review </t>
  </si>
  <si>
    <t>BVF completed and Contract Awarded and signed with Ageproof Homes.</t>
  </si>
  <si>
    <t>Hard FM Lot 6 FIT and PAT - pricing variation</t>
  </si>
  <si>
    <t>John Cullerton &amp; Sons (JCS)</t>
  </si>
  <si>
    <t xml:space="preserve">£824,000 to £1,140,000
(£412,000 to £570,000 per lot)
</t>
  </si>
  <si>
    <r>
      <rPr>
        <sz val="10"/>
        <color rgb="FFFF0000"/>
        <rFont val="Calibri"/>
        <family val="2"/>
      </rPr>
      <t xml:space="preserve">File path: N:\fcs-data\Procurement\PLACE\4 FM_Property\1) Completed\46476 Hard FM - FIT &amp; PAT
</t>
    </r>
    <r>
      <rPr>
        <sz val="10"/>
        <color rgb="FF000000"/>
        <rFont val="Calibri"/>
        <family val="2"/>
      </rPr>
      <t>Deed of Variations sealed, dated and returned to the supplier and Archives by Legal.</t>
    </r>
  </si>
  <si>
    <t>Car Parking Layout Review</t>
  </si>
  <si>
    <t>Local Transport Projects Ltd</t>
  </si>
  <si>
    <t>Lauren Hopson-Haw / Robyn Ranford</t>
  </si>
  <si>
    <t>Own quotes sought. Advised to direct award via ESPO consultancy services framework which NK executed</t>
  </si>
  <si>
    <t>Car Parking Tariff Review</t>
  </si>
  <si>
    <t xml:space="preserve">This will likely be an extension. Paperwork drafted. Need to know if we're extending until Feb 2023 or August 2024. Chased Lorena and Louise for this. Louise confirmed we are to extend for 1 year to 2023 and then a directors recommendation is to be put in place. On signing hub. Extension for 12 months </t>
  </si>
  <si>
    <t>Direct award via CCS Network Services. Fully signed version received from Daisy 11.05.22.</t>
  </si>
  <si>
    <t>03.02.23 Extension executed. 26.01.2023 Tim confirmed extension is to be taken, Sent letter to Daisy for confirmation, waiting to be returned. Direct award via CCS Network Services. Fully signed version received from Daisy 11.05.22.</t>
  </si>
  <si>
    <t>Waste &amp; Environment Implementation Consultancy</t>
  </si>
  <si>
    <t>Extended to 17.02.23, to allow for final invoices to be sumitted after dispute. Contract awarded for next phase to Peopletoo via Reed consultancy+. Peopletoo are SME</t>
  </si>
  <si>
    <t>1 year support is under £15k.  Andy L to manage.</t>
  </si>
  <si>
    <t xml:space="preserve">Afghan Resettlement </t>
  </si>
  <si>
    <t>Original Contract term was (1/3/2017 - 29/2/2020 + 1/3/2020 - 29/2/2021 + 1/3/2021 - 29/2/2022) 3 +1 + 1 value is £30k PA so £150,000 whole life cost. No Further provision to extend however would extend in light of LGR as there is still business need for it, but would need to submit an options paper to PH Strategic Group for a decision. DR being drafted
Awaiting confirmation from AH on signatory.
Complete</t>
  </si>
  <si>
    <t>Provision of Operated and Self-Drive Plant Hire (Construction Services) including the Hire of Paving and Cold Milling Equipment</t>
  </si>
  <si>
    <t>20/10/22 - This is an active framework so can be removed from FPP.
26/05/22 To date signed framework agreements have only been received from 2 suppliers. A third supplier asked for a Credit Application form to be completed. This was forwarded to Amy Sharpe to complete. No confirmation has been received as to whether or not this has been completed.
14/03/22 Standstill period ended. Framework agreements to be finalised and issued to 5 suppliers
2021/12/09 Update from SSp</t>
  </si>
  <si>
    <t>DN576118</t>
  </si>
  <si>
    <t>Framework - Direct Award</t>
  </si>
  <si>
    <t>Invitation to Bid (Open)</t>
  </si>
  <si>
    <t>Contract executed 10.03.22. No savings recorded as on budget. Also VCSE supplier</t>
  </si>
  <si>
    <t>Single View of a Child</t>
  </si>
  <si>
    <t>Lorena Phillips/ Louise Woodward</t>
  </si>
  <si>
    <t>Both extensions to be taken. GW wording with Louise. Chase. Dates were wrong on FPP this starts in March 2022. Extension agreement sent to Sentinel to review before sign off. On Signing Hub. Chased Graham for signature. Chased Robert for signature. Robert signed 07/03/2022</t>
  </si>
  <si>
    <t>14/03 - Contract signed and all info added to Mercell (contracts finder and contracts register)
22/02
Gateway approved. T&amp;Cs currently being reviewed by Abi in legal before seeking signatures.
17/02
Gateway 1&amp;3 taken to PAB today.  Key Decision due to be taken by Justine next week.  Call off documents being prepared and due to be reviewed by legal next week.  
No option to extend contract.  SS drafting options appraisal for JB.  SM looking into framework options.</t>
  </si>
  <si>
    <t xml:space="preserve">Geothermal Investigations Communications and Public Engagement Consultancy </t>
  </si>
  <si>
    <t>Arch Communications (UK) Ltd</t>
  </si>
  <si>
    <t>ESPO Framework Mini Comp</t>
  </si>
  <si>
    <t>Jaelithe Leigh-Brown</t>
  </si>
  <si>
    <t>1 bid received, contract award to Arch Comms. Contract executed 10.03.22. No savings recorded.</t>
  </si>
  <si>
    <r>
      <t>10+</t>
    </r>
    <r>
      <rPr>
        <sz val="11"/>
        <color rgb="FFFF0000"/>
        <rFont val="Calibri"/>
        <family val="2"/>
        <scheme val="minor"/>
      </rPr>
      <t>24</t>
    </r>
  </si>
  <si>
    <t xml:space="preserve">24 month extension signed and completed </t>
  </si>
  <si>
    <t>DN437615</t>
  </si>
  <si>
    <t>Mortuary</t>
  </si>
  <si>
    <t>Emergency Mortuary Equipment Maintenance</t>
  </si>
  <si>
    <t>Simon Wright</t>
  </si>
  <si>
    <t>Multiple agreements being arranged by service area. Advice basis only which will result ina few BVFs. Complete as far as procurement advice is required.</t>
  </si>
  <si>
    <t>Roller Racking for Malpas Road</t>
  </si>
  <si>
    <t>Andrew Maude</t>
  </si>
  <si>
    <t>Contract has been awarded to Rackline Ltd. £41,107.00 - Notification letters have been sent out. Contract to be signed off - chased.</t>
  </si>
  <si>
    <t>DN438995</t>
  </si>
  <si>
    <t>AP Forensics - Accounts Payable - GDPR</t>
  </si>
  <si>
    <t>Signing completed</t>
  </si>
  <si>
    <t xml:space="preserve">DN435830 </t>
  </si>
  <si>
    <t>Selby DC Implementation Partner Office 365 THIS IS NOW GOING TO BE PROCURED BY SELBY DISTRICT COUNCIL</t>
  </si>
  <si>
    <t>12(maximum)</t>
  </si>
  <si>
    <t xml:space="preserve">Still not had confirmation of a value as yet. </t>
  </si>
  <si>
    <t>Joel Saunder / Mark Watson</t>
  </si>
  <si>
    <t xml:space="preserve">01.03.2019. Spec updated and finalised. Skype call with Joel, Mark and Jen from SDC and SDC are now going to procure this in its entirety. Jen from SDC will arrange a call next week for me to handover the info to their procurement team. </t>
  </si>
  <si>
    <t>Foss Catchment Project</t>
  </si>
  <si>
    <r>
      <t xml:space="preserve">Complete </t>
    </r>
    <r>
      <rPr>
        <sz val="11"/>
        <rFont val="Calibri"/>
        <family val="2"/>
      </rPr>
      <t>YORtender record needs setting up for the contracts register etc. complete.</t>
    </r>
  </si>
  <si>
    <t>01/04/2020?</t>
  </si>
  <si>
    <t>Research (Infrastructure) - 5 Areas</t>
  </si>
  <si>
    <t>July 2019?</t>
  </si>
  <si>
    <t>Published on Yortender</t>
  </si>
  <si>
    <t>NYES</t>
  </si>
  <si>
    <t>NYES Business Acquistion - Financial consultancy</t>
  </si>
  <si>
    <t>Harry Rashid/Michael Leah</t>
  </si>
  <si>
    <t>SS chased Harry on comments to BVF</t>
  </si>
  <si>
    <t>NYES Business Acquistion - Legal consultancy</t>
  </si>
  <si>
    <t>Harry Rashid/Barry Khan</t>
  </si>
  <si>
    <t>Erin Outram</t>
  </si>
  <si>
    <t>Complete**
20/02/2020 - Notification letters sent
Currently live on YORtender, due to close 04/02/2020</t>
  </si>
  <si>
    <t>FY22/23Q1</t>
  </si>
  <si>
    <t>Supported Living - North Craven &amp; Harrogate (property &amp; care and support service)</t>
  </si>
  <si>
    <t>Hannah Brown</t>
  </si>
  <si>
    <r>
      <t xml:space="preserve">To be done through Dom care APL due to unreasonable timeframes no procurement needed - </t>
    </r>
    <r>
      <rPr>
        <b/>
        <sz val="11"/>
        <rFont val="Calibri"/>
        <family val="2"/>
        <scheme val="minor"/>
      </rPr>
      <t>Completed</t>
    </r>
  </si>
  <si>
    <t>Supported Living - Skipton (property &amp; care and support service)</t>
  </si>
  <si>
    <t>Minerals Waste Development Framework professional consultancy support (Examination stage)</t>
  </si>
  <si>
    <t>Not known at this stage.</t>
  </si>
  <si>
    <t>DN414696</t>
  </si>
  <si>
    <t>Schools ICT Storage</t>
  </si>
  <si>
    <t xml:space="preserve">Keren Wild/ Nic Watters </t>
  </si>
  <si>
    <t>PROJECT CAN BE MOVED TO COMPLETED - NEW ROW HAS BEEN CREATED BELOW
Keren and Nic were initially unsure what this project was for.  Following a meeting with Keren and Nic on 03/05/18, they confirmed this was for Cloud Backup for Schools, currently supplied by Redstor, as this did not appear elsewhere on the FPP.  During the meeting, it was confirmed that it has been a rolling contract for 4-5 years and Nic raised a PO for £39,000 to renew this from 01/04/18 for 12 months, although the value does vary.  (09/04/18 GP)</t>
  </si>
  <si>
    <t xml:space="preserve">DN436941 </t>
  </si>
  <si>
    <t>HNC Civil Engineering</t>
  </si>
  <si>
    <t>Did not proceed.  Handled via BVF</t>
  </si>
  <si>
    <t>This was for one person to complete HNC at Leeds College. Value £2000 so handled under BVF</t>
  </si>
  <si>
    <t>DN420528</t>
  </si>
  <si>
    <t>Vehicle Maintenance</t>
  </si>
  <si>
    <t>6 month or 12 month review on spend but BVF.</t>
  </si>
  <si>
    <t>Apprenticeship - Care Leadership and Management Level 5</t>
  </si>
  <si>
    <t>To start</t>
  </si>
  <si>
    <t>Mark Tserkezie/Katie Longstaff</t>
  </si>
  <si>
    <t>MasterGov XP and RealTime Reg ( Provided by DEF Software)</t>
  </si>
  <si>
    <t>ongoing</t>
  </si>
  <si>
    <t xml:space="preserve">Nick Leggott / Silas Holland  </t>
  </si>
  <si>
    <t xml:space="preserve">last action was chasing of budget managers for approval of costs in march 2020 as individual areas seemed to be arranging payments, no response was received from some of them and no chase has been received from supplier I think they may have paid them direct again there were ongoing discussions about t&amp;c possibly taking over the control of this sytem but have heard nothing since </t>
  </si>
  <si>
    <t>QCF Diploma in Business Administration Level 3</t>
  </si>
  <si>
    <t>Contract signed by both parties 21/02/2018</t>
  </si>
  <si>
    <t>Emma-Jane Lickiss / Anna Rea</t>
  </si>
  <si>
    <t>Resource requested 25/09/20 via Kevin.  Contact to be made ASAP with Linda Wilson in NYES to discuss the reprocurement of the Sales Consultancy contract with Just Williams.  They've spent over £25k now so needs a bid process and requirement is now urgent.  Speak to Kevin first for some more info, context etc.</t>
  </si>
  <si>
    <t>See comment</t>
  </si>
  <si>
    <t>Laundry</t>
  </si>
  <si>
    <t>Laundry Services - Turkish Baths</t>
  </si>
  <si>
    <t>08/24/2022 - contact now signed                                                                                                                                                                             08/12/2022 - contract has now been signed at HBC side and sent to Elis for final sigining                                                                                    06/28/2022  YPO tender completed award to existing supplier they were the only response to tender docs currently being worked on with HBC /YPO                                                                                                        05/22/22 YPO tender issued today open until 15th June              04/22/22  Docs being worked on to submit to YPO to issue tender  4/4/22 3 month temp contract now signed with exsiting supplier while tender process going through YPO to allow time for this and to award. Existing supplier Elis is on YPO Laundry DPS.                                     03/24/22 now will be tendered through YPO laundry DPS following meetings with turkisg baths manager and YPO,  the turish baths would like some suppliers added to DPS list has now been sent to YPO to get the process of adding suppliers onto DPS</t>
  </si>
  <si>
    <t>SRF - A6108 Package 6 Drainage improvements</t>
  </si>
  <si>
    <t xml:space="preserve">Gateway determined on how contensious this becomes. Gary happy to sort out redudnancy fees outside of the supplier relief. Terminated and likely to be run by the catering service post covid </t>
  </si>
  <si>
    <t xml:space="preserve"> Daniel Harry / Silas Holland / Karen Wilson</t>
  </si>
  <si>
    <t>CCN received from Civica, added to legal resource request spreadsheet. Emailed CCN over to Gemma Smith. On signing Hub for Sila's signature before being sent back to Amanda B. Sent reminder to Silas to sign. Signed and sent back to supplier</t>
  </si>
  <si>
    <t>31/06/2021</t>
  </si>
  <si>
    <t>As NEPO’s legal department have confirmed that “ no legal entity change has taken place” then a novation will not be required - Maria Hill</t>
  </si>
  <si>
    <t>DN324388</t>
  </si>
  <si>
    <t>Novation</t>
  </si>
  <si>
    <t xml:space="preserve">Stronger Communities Programme Evaluation Contract </t>
  </si>
  <si>
    <t>Draft novation written up 26/09/2019 and sent to Mark to look over. Mark confirmed he is happy and VM sent to legal 02/10. legal sent over a form to complete. Completed as much as possible and then sent to Mark to check over. 22.10.2019 Completed and singed off and emailed to relevant people 11.11.19</t>
  </si>
  <si>
    <t>Tim Frenneaux / Liz Hutchinson</t>
  </si>
  <si>
    <t>Contract variation required for further £17k.  Becky to liaise with Neil Murray for the contract background information.</t>
  </si>
  <si>
    <t xml:space="preserve">Area 3
Huntriss
</t>
  </si>
  <si>
    <t>2022/04/19 RMa advised change to HWa, scheme still required, dates to be provided
2022/04/14 moved from SGr to KHe
2022/02/22 New scheme MPl</t>
  </si>
  <si>
    <t>Fleet framework / dps</t>
  </si>
  <si>
    <t xml:space="preserve">2022/10/17  - part of minibus gateway                                                                                                                                                                         2022/05/13 some adjustments and updates to be made to gateway then ready to submit to PAB
2022/04/14  requested super mini cars to be  taken out, updated gateway sent to Andrew to review and requested confirmation around when super mini cars may be needed.                                    
2022/04/05  Awaiting confirmation if supermini cars to be added on this one or not Andrew confirming if they wil be on this key decision.                                                                                             2022/03/24  Stage 1 completed , have now been advised that more vehicles may now need to be added in process of obtaining further details.                                                                                           
2022/03/02   working on stage 1 report and with Laura 
2022/02/25 Updated to sheet  </t>
  </si>
  <si>
    <t>Occupational Health Case Management System
provided by Civica. Additional Licence</t>
  </si>
  <si>
    <t xml:space="preserve">Paul Humphreys </t>
  </si>
  <si>
    <t xml:space="preserve">Vicky Moss </t>
  </si>
  <si>
    <t>Added to legal log. Resourced in legal to Gemma. All good to be signed and sent back. Full contract costs to be added to CCN before sign off. Service area arranged sign off.</t>
  </si>
  <si>
    <t>Haulage</t>
  </si>
  <si>
    <t>08/12/22 - Nick Burgess and Mike Plews have confirmed that spend on haulage is not significant enough to need an ongoing contract, it is used infrequently and on an emergency basis (twice in 18 months so far). Agreed to archive this project for now until if/when spend looks likely to increase.
01/12/22 - This may be incorporated into the Excavators framework so awaiting updated specification for Excavators from NYH
16/06/22 - Ross Bullerwell confirmed he is happy with a Tier 1 Supplier approach. EOI currently being drafted.
2022/03/11 Discuss w. NBu / MFr if this is to progress as a separate lot</t>
  </si>
  <si>
    <t>Supplementary Asbestos consultancy</t>
  </si>
  <si>
    <t>HSL</t>
  </si>
  <si>
    <t xml:space="preserve">16/02/23 - This has been replaced by "Hard FM (Lot 11) Asbestos Analysis" so can be removed from FPP.
20/01/23 - Now on draft Hard FM procurement plan. Formal timetable to be decided.
05/01/23 - Awaiting further update from Trevor lambert
15/12/22 - Trevor Lambert has advised there isn't time to undertake a competitiive 
procedure. To be discussed at Hard FM meeting.
17/11/22 - Trevor Lambert advised that no decision had been made on the route to market for additional asbestos consultancy resource.
10/11/22 - Email sent to Trevor Lambert asking for an update
27/10/22 - Awaiting response from Trevor Lambert
20/10/22 - Details of direct award framework through Consortium Procurement sent to Trevor Lambert. Awaiting Trevor's return from leave to discuss if he wants to proceed.
Details of framework/lotting sent across for TL review. </t>
  </si>
  <si>
    <t>Degree Apprenticeship - Digital &amp; Technology Solutions Professional</t>
  </si>
  <si>
    <t>T&amp;C</t>
  </si>
  <si>
    <t>DN442634</t>
  </si>
  <si>
    <t>Apprenticeships - Multiple lots</t>
  </si>
  <si>
    <t xml:space="preserve">To be moved to completed - individual requirements to be added as and when. </t>
  </si>
  <si>
    <t>Technology &amp; Change</t>
  </si>
  <si>
    <t xml:space="preserve">File path N:\FCS-DATA\Procurement\PROFESSIONAL\T and C\Finance\1. Awarded\Oracle PBCS Support DN555452
23/01 Contract signed and sent to service area. Contract register completed
</t>
  </si>
  <si>
    <t xml:space="preserve">   Area 5 Storiths Lane, Skipton Landslip A#####[tba]</t>
  </si>
  <si>
    <t>2023/01/23 Duplicate
09/12/2022 New scheme of 2023/24 programme, headline notification, tiering to be confirmed</t>
  </si>
  <si>
    <t>No. of projects</t>
  </si>
  <si>
    <t>Projects updated within the last week</t>
  </si>
  <si>
    <t>% Updated in the last 7 days</t>
  </si>
  <si>
    <t>8 - 14 Days</t>
  </si>
  <si>
    <t>15 - 21 Days</t>
  </si>
  <si>
    <t>22 - 28 Days</t>
  </si>
  <si>
    <t>Over 28 Days</t>
  </si>
  <si>
    <t>PROCUREMENT</t>
  </si>
  <si>
    <t>Caroline Sampson Paver</t>
  </si>
  <si>
    <t>Hannah Breheney</t>
  </si>
  <si>
    <t>Melanie Lyons</t>
  </si>
  <si>
    <t>CONTRACT MANAGEMENT</t>
  </si>
  <si>
    <t>LEFT</t>
  </si>
  <si>
    <t>Use of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</si>
</sst>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43" formatCode="_-* #,##0.00_-;\-* #,##0.00_-;_-* &quot;-&quot;??_-;_-@_-"/>
    <numFmt numFmtId="164" formatCode="_-&quot;£&quot;* #,##0_-;\-&quot;£&quot;* #,##0_-;_-&quot;£&quot;* &quot;-&quot;??_-;_-@_-"/>
    <numFmt numFmtId="165" formatCode="dd/mm/yyyy;@"/>
    <numFmt numFmtId="166" formatCode="dd/mm/yy;@"/>
    <numFmt numFmtId="167" formatCode="&quot;£&quot;#,##0.00"/>
    <numFmt numFmtId="168" formatCode="&quot;£&quot;#,##0"/>
    <numFmt numFmtId="169" formatCode="dd/mm/yy"/>
    <numFmt numFmtId="170" formatCode="_-\&gt;\ &quot;£&quot;* #,##0_-;\-&quot;£&quot;* #,##0_-;_-&quot;£&quot;* &quot;-&quot;??_-;_-@_-"/>
    <numFmt numFmtId="171" formatCode="_-* #,##0_-;\-* #,##0_-;_-* &quot;-&quot;??_-;_-@_-"/>
  </numFmts>
  <fonts count="77">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sz val="10"/>
      <name val="Arial"/>
      <family val="2"/>
    </font>
    <font>
      <sz val="11"/>
      <color rgb="FFFF0000"/>
      <name val="Calibri"/>
      <family val="2"/>
      <scheme val="minor"/>
    </font>
    <font>
      <sz val="12"/>
      <color theme="1"/>
      <name val="Arial"/>
      <family val="2"/>
    </font>
    <font>
      <i/>
      <sz val="11"/>
      <name val="Calibri"/>
      <family val="2"/>
      <scheme val="minor"/>
    </font>
    <font>
      <b/>
      <sz val="9"/>
      <color indexed="81"/>
      <name val="Tahoma"/>
      <family val="2"/>
    </font>
    <font>
      <sz val="9"/>
      <color indexed="81"/>
      <name val="Tahoma"/>
      <family val="2"/>
    </font>
    <font>
      <b/>
      <sz val="12"/>
      <color theme="1"/>
      <name val="Arial"/>
      <family val="2"/>
    </font>
    <font>
      <sz val="11"/>
      <color rgb="FF92D050"/>
      <name val="Calibri"/>
      <family val="2"/>
      <scheme val="minor"/>
    </font>
    <font>
      <sz val="11"/>
      <color rgb="FF000000"/>
      <name val="Calibri"/>
      <family val="2"/>
      <scheme val="minor"/>
    </font>
    <font>
      <sz val="11"/>
      <name val="Calibri"/>
      <family val="2"/>
    </font>
    <font>
      <sz val="11"/>
      <color theme="1"/>
      <name val="Calibri"/>
      <family val="2"/>
    </font>
    <font>
      <b/>
      <sz val="11"/>
      <name val="Calibri"/>
      <family val="2"/>
    </font>
    <font>
      <b/>
      <sz val="11"/>
      <color rgb="FFFF0000"/>
      <name val="Calibri"/>
      <family val="2"/>
      <scheme val="minor"/>
    </font>
    <font>
      <b/>
      <u/>
      <sz val="11"/>
      <name val="Calibri"/>
      <family val="2"/>
      <scheme val="minor"/>
    </font>
    <font>
      <b/>
      <sz val="11"/>
      <color rgb="FF00B050"/>
      <name val="Calibri"/>
      <family val="2"/>
      <scheme val="minor"/>
    </font>
    <font>
      <b/>
      <sz val="11"/>
      <color rgb="FF00B050"/>
      <name val="Calibri"/>
      <family val="2"/>
    </font>
    <font>
      <b/>
      <sz val="11"/>
      <color rgb="FFFF0000"/>
      <name val="Calibri"/>
      <family val="2"/>
    </font>
    <font>
      <sz val="11"/>
      <color rgb="FFFF0000"/>
      <name val="Calibri"/>
      <family val="2"/>
    </font>
    <font>
      <sz val="11"/>
      <color rgb="FF00B050"/>
      <name val="Calibri"/>
      <family val="2"/>
      <scheme val="minor"/>
    </font>
    <font>
      <sz val="11"/>
      <color rgb="FF000000"/>
      <name val="Calibri"/>
      <family val="2"/>
    </font>
    <font>
      <u/>
      <sz val="11"/>
      <color theme="1"/>
      <name val="Calibri"/>
      <family val="2"/>
    </font>
    <font>
      <sz val="11"/>
      <name val="Calibri "/>
    </font>
    <font>
      <b/>
      <sz val="12"/>
      <color rgb="FF000000"/>
      <name val="Inherit"/>
    </font>
    <font>
      <sz val="12"/>
      <name val="Arial"/>
      <family val="2"/>
    </font>
    <font>
      <b/>
      <sz val="11"/>
      <color theme="1"/>
      <name val="Arial"/>
      <family val="2"/>
    </font>
    <font>
      <sz val="11"/>
      <color theme="1"/>
      <name val="Arial"/>
      <family val="2"/>
    </font>
    <font>
      <sz val="10"/>
      <color rgb="FF000000"/>
      <name val="Arial"/>
      <family val="2"/>
    </font>
    <font>
      <sz val="10"/>
      <color theme="1"/>
      <name val="Arial"/>
      <family val="2"/>
    </font>
    <font>
      <u/>
      <sz val="11"/>
      <name val="Calibri"/>
      <family val="2"/>
    </font>
    <font>
      <b/>
      <sz val="11"/>
      <color rgb="FF000000"/>
      <name val="Calibri"/>
      <family val="2"/>
      <scheme val="minor"/>
    </font>
    <font>
      <sz val="11"/>
      <name val="Calibri"/>
      <family val="2"/>
      <scheme val="minor"/>
    </font>
    <font>
      <sz val="9"/>
      <color rgb="FFFF0000"/>
      <name val="Arial"/>
      <family val="2"/>
    </font>
    <font>
      <sz val="9"/>
      <color theme="1"/>
      <name val="Arial"/>
      <family val="2"/>
    </font>
    <font>
      <sz val="9"/>
      <color theme="1"/>
      <name val="Calibri"/>
      <family val="2"/>
      <scheme val="minor"/>
    </font>
    <font>
      <b/>
      <sz val="11"/>
      <color rgb="FF000000"/>
      <name val="Calibri"/>
      <family val="2"/>
    </font>
    <font>
      <sz val="10"/>
      <name val="Arial"/>
      <family val="2"/>
    </font>
    <font>
      <sz val="9"/>
      <name val="Arial"/>
      <family val="2"/>
    </font>
    <font>
      <sz val="10"/>
      <color rgb="FF000000"/>
      <name val="Segoe UI"/>
      <family val="2"/>
    </font>
    <font>
      <sz val="12"/>
      <name val="Calibri"/>
      <family val="2"/>
      <scheme val="minor"/>
    </font>
    <font>
      <sz val="12"/>
      <color rgb="FFFF33CC"/>
      <name val="Calibri"/>
      <family val="2"/>
    </font>
    <font>
      <sz val="12"/>
      <color rgb="FFFF0000"/>
      <name val="Calibri"/>
      <family val="2"/>
    </font>
    <font>
      <sz val="12"/>
      <name val="Calibri"/>
      <family val="2"/>
    </font>
    <font>
      <sz val="10"/>
      <color rgb="FFFF0000"/>
      <name val="Arial"/>
      <family val="2"/>
    </font>
    <font>
      <b/>
      <sz val="10"/>
      <name val="Arial"/>
      <family val="2"/>
    </font>
    <font>
      <sz val="10"/>
      <color rgb="FFFFFFFF"/>
      <name val="Arial"/>
      <family val="2"/>
    </font>
    <font>
      <strike/>
      <sz val="10"/>
      <name val="Arial"/>
      <family val="2"/>
    </font>
    <font>
      <i/>
      <sz val="10"/>
      <name val="Arial"/>
      <family val="2"/>
    </font>
    <font>
      <sz val="10"/>
      <color theme="0"/>
      <name val="Arial"/>
      <family val="2"/>
    </font>
    <font>
      <sz val="10"/>
      <name val="Calibri"/>
      <family val="2"/>
      <scheme val="minor"/>
    </font>
    <font>
      <strike/>
      <sz val="10"/>
      <name val="Calibri"/>
      <family val="2"/>
      <scheme val="minor"/>
    </font>
    <font>
      <i/>
      <sz val="10"/>
      <name val="Calibri"/>
      <family val="2"/>
      <scheme val="minor"/>
    </font>
    <font>
      <sz val="10"/>
      <color theme="1"/>
      <name val="Calibri"/>
      <family val="2"/>
      <scheme val="minor"/>
    </font>
    <font>
      <sz val="10"/>
      <color rgb="FFFF0000"/>
      <name val="Calibri"/>
      <family val="2"/>
      <scheme val="minor"/>
    </font>
    <font>
      <b/>
      <sz val="10"/>
      <color rgb="FFFF0000"/>
      <name val="Arial"/>
      <family val="2"/>
    </font>
    <font>
      <i/>
      <sz val="10"/>
      <color rgb="FFFF0000"/>
      <name val="Arial"/>
      <family val="2"/>
    </font>
    <font>
      <strike/>
      <sz val="10"/>
      <color rgb="FFFFFFFF"/>
      <name val="Arial"/>
      <family val="2"/>
    </font>
    <font>
      <sz val="10"/>
      <color theme="1"/>
      <name val="Calibri"/>
      <family val="2"/>
    </font>
    <font>
      <sz val="10"/>
      <name val="Calibri"/>
      <family val="2"/>
    </font>
    <font>
      <i/>
      <sz val="10"/>
      <name val="Calibri"/>
      <family val="2"/>
    </font>
    <font>
      <sz val="10"/>
      <color rgb="FF000000"/>
      <name val="Calibri"/>
      <family val="2"/>
    </font>
    <font>
      <sz val="10"/>
      <color rgb="FF000000"/>
      <name val="Calibri"/>
      <family val="2"/>
      <scheme val="minor"/>
    </font>
    <font>
      <sz val="10"/>
      <color rgb="FFFF0000"/>
      <name val="Calibri"/>
      <family val="2"/>
    </font>
    <font>
      <b/>
      <sz val="10"/>
      <color rgb="FF000000"/>
      <name val="Calibri"/>
      <family val="2"/>
    </font>
    <font>
      <sz val="12"/>
      <color rgb="FF000000"/>
      <name val="Arial"/>
      <family val="2"/>
    </font>
    <font>
      <sz val="10"/>
      <color rgb="FFFFFFFF"/>
      <name val="Calibri"/>
      <family val="2"/>
    </font>
    <font>
      <sz val="11"/>
      <color rgb="FF444444"/>
      <name val="Calibri"/>
      <family val="2"/>
    </font>
    <font>
      <sz val="10"/>
      <color theme="1"/>
      <name val="Calibri"/>
      <family val="2"/>
    </font>
    <font>
      <b/>
      <sz val="11"/>
      <color rgb="FFFFFFFF"/>
      <name val="Calibri"/>
      <family val="2"/>
    </font>
    <font>
      <sz val="11"/>
      <color rgb="FFFFFFFF"/>
      <name val="Calibri"/>
      <family val="2"/>
      <scheme val="minor"/>
    </font>
    <font>
      <b/>
      <sz val="11"/>
      <color theme="1"/>
      <name val="Calibri"/>
      <family val="2"/>
    </font>
  </fonts>
  <fills count="29">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92D05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9BC2E6"/>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33CC"/>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8CBAD"/>
        <bgColor indexed="64"/>
      </patternFill>
    </fill>
    <fill>
      <patternFill patternType="solid">
        <fgColor rgb="FFBFBFBF"/>
        <bgColor indexed="64"/>
      </patternFill>
    </fill>
    <fill>
      <patternFill patternType="solid">
        <fgColor rgb="FF000000"/>
        <bgColor indexed="64"/>
      </patternFill>
    </fill>
    <fill>
      <patternFill patternType="solid">
        <fgColor rgb="FFE2EFDA"/>
        <bgColor indexed="64"/>
      </patternFill>
    </fill>
    <fill>
      <patternFill patternType="solid">
        <fgColor rgb="FFB9E6AE"/>
        <bgColor indexed="64"/>
      </patternFill>
    </fill>
    <fill>
      <patternFill patternType="solid">
        <fgColor rgb="FFD9D9D9"/>
        <bgColor indexed="64"/>
      </patternFill>
    </fill>
    <fill>
      <patternFill patternType="solid">
        <fgColor rgb="FFDDEBF7"/>
        <bgColor indexed="64"/>
      </patternFill>
    </fill>
    <fill>
      <patternFill patternType="solid">
        <fgColor rgb="FFF2F2F2"/>
        <bgColor indexed="64"/>
      </patternFill>
    </fill>
    <fill>
      <patternFill patternType="solid">
        <fgColor rgb="FFD9D9D9"/>
        <bgColor rgb="FF000000"/>
      </patternFill>
    </fill>
    <fill>
      <patternFill patternType="solid">
        <fgColor rgb="FF808080"/>
        <bgColor rgb="FF000000"/>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indexed="64"/>
      </bottom>
      <diagonal/>
    </border>
    <border>
      <left style="thin">
        <color auto="1"/>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style="thin">
        <color auto="1"/>
      </top>
      <bottom/>
      <diagonal/>
    </border>
    <border>
      <left style="thin">
        <color rgb="FF000000"/>
      </left>
      <right/>
      <top/>
      <bottom style="thin">
        <color rgb="FF000000"/>
      </bottom>
      <diagonal/>
    </border>
    <border>
      <left/>
      <right/>
      <top style="thin">
        <color rgb="FF000000"/>
      </top>
      <bottom/>
      <diagonal/>
    </border>
    <border>
      <left/>
      <right/>
      <top/>
      <bottom style="thin">
        <color rgb="FF000000"/>
      </bottom>
      <diagonal/>
    </border>
    <border>
      <left style="thin">
        <color auto="1"/>
      </left>
      <right/>
      <top style="thin">
        <color auto="1"/>
      </top>
      <bottom style="thin">
        <color rgb="FF000000"/>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bottom style="thin">
        <color rgb="FF808080"/>
      </bottom>
      <diagonal/>
    </border>
    <border>
      <left style="thin">
        <color rgb="FF808080"/>
      </left>
      <right style="thin">
        <color rgb="FF808080"/>
      </right>
      <top style="thin">
        <color rgb="FF808080"/>
      </top>
      <bottom/>
      <diagonal/>
    </border>
  </borders>
  <cellStyleXfs count="19">
    <xf numFmtId="0" fontId="0" fillId="0" borderId="0"/>
    <xf numFmtId="0" fontId="7" fillId="0" borderId="0"/>
    <xf numFmtId="0" fontId="7" fillId="0" borderId="0"/>
    <xf numFmtId="0" fontId="9" fillId="0" borderId="0"/>
    <xf numFmtId="0" fontId="9" fillId="0" borderId="0"/>
    <xf numFmtId="0" fontId="9" fillId="0" borderId="0"/>
    <xf numFmtId="44" fontId="9" fillId="0" borderId="0" applyFont="0" applyFill="0" applyBorder="0" applyAlignment="0" applyProtection="0"/>
    <xf numFmtId="43" fontId="9" fillId="0" borderId="0" applyFont="0" applyFill="0" applyBorder="0" applyAlignment="0" applyProtection="0"/>
    <xf numFmtId="0" fontId="42"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9" fillId="0" borderId="0"/>
    <xf numFmtId="44" fontId="7" fillId="0" borderId="0" applyFont="0" applyFill="0" applyBorder="0" applyAlignment="0" applyProtection="0"/>
    <xf numFmtId="0" fontId="9" fillId="0" borderId="0"/>
    <xf numFmtId="0" fontId="9" fillId="0" borderId="0"/>
    <xf numFmtId="0" fontId="9" fillId="0" borderId="0"/>
    <xf numFmtId="0" fontId="9" fillId="0" borderId="0"/>
  </cellStyleXfs>
  <cellXfs count="1577">
    <xf numFmtId="0" fontId="0" fillId="0" borderId="0" xfId="0"/>
    <xf numFmtId="0" fontId="5" fillId="0" borderId="0" xfId="0" applyFont="1" applyAlignment="1" applyProtection="1">
      <alignment vertical="center"/>
      <protection locked="0"/>
    </xf>
    <xf numFmtId="0" fontId="4" fillId="3" borderId="1" xfId="0" applyFont="1" applyFill="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vertical="center"/>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protection locked="0"/>
    </xf>
    <xf numFmtId="166"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165" fontId="5" fillId="0" borderId="1" xfId="0" applyNumberFormat="1"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0" fontId="5" fillId="0" borderId="1" xfId="0" applyFont="1" applyBorder="1" applyAlignment="1" applyProtection="1">
      <alignment vertical="center" wrapText="1"/>
      <protection locked="0"/>
    </xf>
    <xf numFmtId="167" fontId="5" fillId="0" borderId="1" xfId="0" applyNumberFormat="1" applyFont="1" applyBorder="1" applyAlignment="1" applyProtection="1">
      <alignment horizontal="center" vertical="center"/>
      <protection locked="0"/>
    </xf>
    <xf numFmtId="168" fontId="5" fillId="0" borderId="1" xfId="6" applyNumberFormat="1" applyFont="1" applyFill="1" applyBorder="1" applyAlignment="1" applyProtection="1">
      <alignment horizontal="center" vertical="center" wrapText="1"/>
      <protection locked="0"/>
    </xf>
    <xf numFmtId="167" fontId="5" fillId="0" borderId="1" xfId="6" applyNumberFormat="1"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167" fontId="6" fillId="5" borderId="1" xfId="0" applyNumberFormat="1"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0" fontId="4" fillId="3" borderId="3"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49" fontId="5" fillId="2" borderId="1" xfId="0" applyNumberFormat="1" applyFont="1" applyFill="1" applyBorder="1" applyAlignment="1" applyProtection="1">
      <alignment horizontal="left" vertical="center" wrapText="1"/>
      <protection locked="0"/>
    </xf>
    <xf numFmtId="0" fontId="4" fillId="3" borderId="1" xfId="2" applyFont="1" applyFill="1" applyBorder="1" applyAlignment="1" applyProtection="1">
      <alignment horizontal="center" vertical="center" textRotation="180" wrapText="1"/>
      <protection locked="0"/>
    </xf>
    <xf numFmtId="0" fontId="0" fillId="0" borderId="0" xfId="0" applyProtection="1">
      <protection locked="0"/>
    </xf>
    <xf numFmtId="49" fontId="5" fillId="0" borderId="1" xfId="0" applyNumberFormat="1" applyFont="1" applyBorder="1" applyAlignment="1" applyProtection="1">
      <alignment horizontal="left" vertical="center" wrapText="1"/>
      <protection locked="0"/>
    </xf>
    <xf numFmtId="14" fontId="6" fillId="5" borderId="1" xfId="0" applyNumberFormat="1" applyFont="1" applyFill="1" applyBorder="1" applyAlignment="1" applyProtection="1">
      <alignment horizontal="center" vertical="center" wrapText="1"/>
      <protection locked="0"/>
    </xf>
    <xf numFmtId="168" fontId="4" fillId="3" borderId="1" xfId="0" applyNumberFormat="1" applyFont="1" applyFill="1" applyBorder="1" applyAlignment="1" applyProtection="1">
      <alignment horizontal="center" vertical="center" wrapText="1"/>
      <protection locked="0"/>
    </xf>
    <xf numFmtId="168" fontId="5" fillId="0" borderId="1" xfId="0" applyNumberFormat="1" applyFont="1" applyBorder="1" applyAlignment="1" applyProtection="1">
      <alignment horizontal="center" vertical="center"/>
      <protection locked="0"/>
    </xf>
    <xf numFmtId="168" fontId="5" fillId="0" borderId="1" xfId="0" applyNumberFormat="1" applyFont="1" applyBorder="1" applyAlignment="1" applyProtection="1">
      <alignment horizontal="center" vertical="center" wrapText="1"/>
      <protection locked="0"/>
    </xf>
    <xf numFmtId="168" fontId="5" fillId="2" borderId="1" xfId="0" applyNumberFormat="1" applyFont="1" applyFill="1" applyBorder="1" applyAlignment="1" applyProtection="1">
      <alignment horizontal="center" vertical="center"/>
      <protection locked="0"/>
    </xf>
    <xf numFmtId="168" fontId="5" fillId="2" borderId="1" xfId="0" applyNumberFormat="1" applyFont="1" applyFill="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165" fontId="5" fillId="6" borderId="1" xfId="0" applyNumberFormat="1"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protection locked="0"/>
    </xf>
    <xf numFmtId="14" fontId="5" fillId="2" borderId="1" xfId="0" applyNumberFormat="1" applyFont="1" applyFill="1" applyBorder="1" applyAlignment="1" applyProtection="1">
      <alignment horizontal="center" vertical="center"/>
      <protection locked="0"/>
    </xf>
    <xf numFmtId="168" fontId="5" fillId="6" borderId="1" xfId="0" applyNumberFormat="1" applyFont="1" applyFill="1" applyBorder="1" applyAlignment="1" applyProtection="1">
      <alignment horizontal="center" vertical="center" wrapText="1"/>
      <protection locked="0"/>
    </xf>
    <xf numFmtId="165" fontId="5" fillId="6" borderId="1" xfId="0" applyNumberFormat="1" applyFont="1" applyFill="1" applyBorder="1" applyAlignment="1">
      <alignment horizontal="center" vertical="center" wrapText="1"/>
    </xf>
    <xf numFmtId="0" fontId="5" fillId="6" borderId="1" xfId="0" applyFont="1" applyFill="1" applyBorder="1" applyAlignment="1" applyProtection="1">
      <alignment horizontal="center" vertical="center" wrapText="1"/>
      <protection locked="0"/>
    </xf>
    <xf numFmtId="165" fontId="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5" fillId="2" borderId="1" xfId="0" quotePrefix="1" applyFont="1" applyFill="1" applyBorder="1" applyAlignment="1" applyProtection="1">
      <alignment horizontal="left" vertical="center" wrapText="1"/>
      <protection locked="0"/>
    </xf>
    <xf numFmtId="0" fontId="0" fillId="0" borderId="0" xfId="0" applyAlignment="1">
      <alignment vertical="center"/>
    </xf>
    <xf numFmtId="0" fontId="5" fillId="0" borderId="1" xfId="0" applyFont="1" applyBorder="1" applyAlignment="1">
      <alignment horizontal="left" vertical="center" wrapText="1"/>
    </xf>
    <xf numFmtId="0" fontId="5" fillId="0" borderId="6" xfId="0" applyFont="1" applyBorder="1" applyAlignment="1" applyProtection="1">
      <alignment horizontal="center" vertical="center" wrapText="1"/>
      <protection locked="0"/>
    </xf>
    <xf numFmtId="6" fontId="5" fillId="0" borderId="1" xfId="0" applyNumberFormat="1" applyFont="1" applyBorder="1" applyAlignment="1" applyProtection="1">
      <alignment horizontal="center" vertical="center" wrapText="1"/>
      <protection locked="0"/>
    </xf>
    <xf numFmtId="0" fontId="0" fillId="0" borderId="3" xfId="0" applyBorder="1" applyAlignment="1">
      <alignment vertical="center"/>
    </xf>
    <xf numFmtId="168" fontId="5" fillId="2" borderId="1" xfId="6" applyNumberFormat="1" applyFont="1" applyFill="1" applyBorder="1" applyAlignment="1" applyProtection="1">
      <alignment horizontal="center" vertical="center" wrapText="1"/>
      <protection locked="0"/>
    </xf>
    <xf numFmtId="165" fontId="5" fillId="0" borderId="1" xfId="0" applyNumberFormat="1" applyFont="1" applyBorder="1" applyAlignment="1" applyProtection="1">
      <alignment horizontal="left" vertical="center" wrapText="1"/>
      <protection locked="0"/>
    </xf>
    <xf numFmtId="0" fontId="5" fillId="2" borderId="1" xfId="0" applyFont="1" applyFill="1" applyBorder="1" applyAlignment="1" applyProtection="1">
      <alignment vertical="center" wrapText="1"/>
      <protection locked="0"/>
    </xf>
    <xf numFmtId="0" fontId="5" fillId="0" borderId="1" xfId="1" applyFont="1" applyBorder="1" applyAlignment="1" applyProtection="1">
      <alignment horizontal="left" vertical="center" wrapText="1"/>
      <protection locked="0"/>
    </xf>
    <xf numFmtId="0" fontId="10" fillId="0" borderId="1" xfId="0" applyFont="1" applyBorder="1" applyAlignment="1" applyProtection="1">
      <alignment horizontal="center" vertical="center" wrapText="1"/>
      <protection locked="0"/>
    </xf>
    <xf numFmtId="49" fontId="5" fillId="2" borderId="1" xfId="0" applyNumberFormat="1" applyFont="1" applyFill="1" applyBorder="1" applyAlignment="1" applyProtection="1">
      <alignment horizontal="center" vertical="center"/>
      <protection locked="0"/>
    </xf>
    <xf numFmtId="0" fontId="5" fillId="0" borderId="1" xfId="0" applyFont="1" applyBorder="1" applyAlignment="1">
      <alignment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pplyProtection="1">
      <alignment vertical="center"/>
      <protection locked="0"/>
    </xf>
    <xf numFmtId="0" fontId="5" fillId="0" borderId="7" xfId="0" applyFont="1" applyBorder="1" applyAlignment="1" applyProtection="1">
      <alignment horizontal="center" vertical="center" wrapText="1"/>
      <protection locked="0"/>
    </xf>
    <xf numFmtId="0" fontId="5" fillId="4" borderId="1" xfId="0" applyFont="1" applyFill="1" applyBorder="1" applyAlignment="1" applyProtection="1">
      <alignment horizontal="left" vertical="center" wrapText="1"/>
      <protection locked="0"/>
    </xf>
    <xf numFmtId="0" fontId="5" fillId="0" borderId="0" xfId="0" applyFont="1" applyAlignment="1" applyProtection="1">
      <alignment horizontal="center" vertical="center"/>
      <protection locked="0"/>
    </xf>
    <xf numFmtId="14" fontId="5" fillId="0" borderId="1" xfId="0" quotePrefix="1" applyNumberFormat="1" applyFont="1" applyBorder="1" applyAlignment="1" applyProtection="1">
      <alignment horizontal="center" vertical="center"/>
      <protection locked="0"/>
    </xf>
    <xf numFmtId="1" fontId="5" fillId="0" borderId="1" xfId="0" applyNumberFormat="1" applyFont="1" applyBorder="1" applyAlignment="1" applyProtection="1">
      <alignment horizontal="center" vertical="center" wrapText="1"/>
      <protection locked="0"/>
    </xf>
    <xf numFmtId="14" fontId="5" fillId="2" borderId="3" xfId="0"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44" fontId="5" fillId="0" borderId="1" xfId="0" applyNumberFormat="1" applyFont="1" applyBorder="1" applyAlignment="1" applyProtection="1">
      <alignment horizontal="center" vertical="center"/>
      <protection locked="0"/>
    </xf>
    <xf numFmtId="164" fontId="5" fillId="0" borderId="1" xfId="0" applyNumberFormat="1" applyFont="1" applyBorder="1" applyAlignment="1" applyProtection="1">
      <alignment horizontal="right" vertical="center" wrapText="1"/>
      <protection locked="0"/>
    </xf>
    <xf numFmtId="167" fontId="5" fillId="0" borderId="1" xfId="0" applyNumberFormat="1" applyFont="1" applyBorder="1" applyAlignment="1" applyProtection="1">
      <alignment vertical="center"/>
      <protection locked="0"/>
    </xf>
    <xf numFmtId="0" fontId="5" fillId="0" borderId="1" xfId="0" applyFont="1" applyBorder="1" applyAlignment="1" applyProtection="1">
      <alignment horizontal="left" vertical="top" wrapText="1"/>
      <protection locked="0"/>
    </xf>
    <xf numFmtId="167" fontId="5" fillId="0" borderId="1" xfId="0" applyNumberFormat="1" applyFont="1" applyBorder="1" applyAlignment="1" applyProtection="1">
      <alignment horizontal="center" vertical="center" wrapText="1"/>
      <protection locked="0"/>
    </xf>
    <xf numFmtId="164" fontId="5" fillId="0" borderId="1" xfId="0" applyNumberFormat="1" applyFont="1" applyBorder="1" applyAlignment="1" applyProtection="1">
      <alignment horizontal="right" vertical="center"/>
      <protection locked="0"/>
    </xf>
    <xf numFmtId="0" fontId="8" fillId="0" borderId="1" xfId="0" applyFont="1" applyBorder="1" applyAlignment="1" applyProtection="1">
      <alignment horizontal="left" vertical="center" wrapText="1"/>
      <protection locked="0"/>
    </xf>
    <xf numFmtId="164"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left" wrapText="1"/>
      <protection locked="0"/>
    </xf>
    <xf numFmtId="14" fontId="5" fillId="0" borderId="1" xfId="0" applyNumberFormat="1"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Alignment="1" applyProtection="1">
      <alignment horizontal="center" wrapText="1"/>
      <protection locked="0"/>
    </xf>
    <xf numFmtId="164" fontId="5" fillId="0" borderId="1" xfId="0" applyNumberFormat="1" applyFont="1" applyBorder="1" applyAlignment="1" applyProtection="1">
      <alignment vertical="center"/>
      <protection locked="0"/>
    </xf>
    <xf numFmtId="8" fontId="5" fillId="0" borderId="1" xfId="0" applyNumberFormat="1" applyFont="1" applyBorder="1" applyAlignment="1" applyProtection="1">
      <alignment horizontal="center" vertical="center"/>
      <protection locked="0"/>
    </xf>
    <xf numFmtId="6" fontId="5" fillId="0" borderId="1" xfId="0" applyNumberFormat="1" applyFont="1" applyBorder="1" applyAlignment="1" applyProtection="1">
      <alignment horizontal="center" vertical="center"/>
      <protection locked="0"/>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168" fontId="8" fillId="0" borderId="1" xfId="6" applyNumberFormat="1" applyFont="1" applyFill="1" applyBorder="1" applyAlignment="1" applyProtection="1">
      <alignment horizontal="center" vertical="center" wrapText="1"/>
      <protection locked="0"/>
    </xf>
    <xf numFmtId="0" fontId="8" fillId="0" borderId="0" xfId="0" applyFont="1" applyAlignment="1" applyProtection="1">
      <alignment vertical="center"/>
      <protection locked="0"/>
    </xf>
    <xf numFmtId="49" fontId="5" fillId="0" borderId="1" xfId="0" applyNumberFormat="1" applyFont="1" applyBorder="1" applyAlignment="1" applyProtection="1">
      <alignment horizontal="left" vertical="center"/>
      <protection locked="0"/>
    </xf>
    <xf numFmtId="0" fontId="5" fillId="0" borderId="0" xfId="0" applyFont="1" applyAlignment="1" applyProtection="1">
      <alignment horizontal="left" vertical="center" wrapText="1"/>
      <protection locked="0"/>
    </xf>
    <xf numFmtId="0" fontId="5" fillId="0" borderId="2" xfId="0" applyFont="1" applyBorder="1" applyAlignment="1" applyProtection="1">
      <alignment horizontal="left" vertical="center"/>
      <protection locked="0"/>
    </xf>
    <xf numFmtId="0" fontId="5" fillId="0" borderId="1" xfId="0" applyFont="1" applyBorder="1" applyAlignment="1" applyProtection="1">
      <alignment wrapText="1"/>
      <protection locked="0"/>
    </xf>
    <xf numFmtId="0" fontId="0" fillId="0" borderId="1" xfId="0" applyBorder="1" applyAlignment="1">
      <alignment horizontal="center" vertical="center" wrapText="1"/>
    </xf>
    <xf numFmtId="0" fontId="5" fillId="0" borderId="2" xfId="0" applyFont="1" applyBorder="1" applyAlignment="1" applyProtection="1">
      <alignment horizontal="center" wrapText="1"/>
      <protection locked="0"/>
    </xf>
    <xf numFmtId="0" fontId="4" fillId="0" borderId="1" xfId="0" applyFont="1" applyBorder="1" applyAlignment="1" applyProtection="1">
      <alignment horizontal="left" vertical="center" wrapText="1"/>
      <protection locked="0"/>
    </xf>
    <xf numFmtId="0" fontId="16" fillId="0" borderId="1" xfId="0" applyFont="1" applyBorder="1" applyAlignment="1">
      <alignment horizontal="left" vertical="top" wrapText="1"/>
    </xf>
    <xf numFmtId="0" fontId="5" fillId="0" borderId="2" xfId="0" applyFont="1" applyBorder="1" applyAlignment="1" applyProtection="1">
      <alignment horizontal="left" vertical="center" wrapText="1"/>
      <protection locked="0"/>
    </xf>
    <xf numFmtId="0" fontId="17" fillId="0" borderId="1" xfId="0" applyFont="1" applyBorder="1" applyAlignment="1">
      <alignment horizontal="center" vertical="center"/>
    </xf>
    <xf numFmtId="49" fontId="5" fillId="0" borderId="2" xfId="0" applyNumberFormat="1" applyFont="1" applyBorder="1" applyAlignment="1" applyProtection="1">
      <alignment horizontal="left" vertical="center" wrapText="1"/>
      <protection locked="0"/>
    </xf>
    <xf numFmtId="0" fontId="5" fillId="0" borderId="0" xfId="0" applyFont="1" applyAlignment="1" applyProtection="1">
      <alignment vertical="center" wrapText="1"/>
      <protection locked="0"/>
    </xf>
    <xf numFmtId="168" fontId="5" fillId="0" borderId="1" xfId="6" applyNumberFormat="1" applyFont="1" applyFill="1" applyBorder="1" applyAlignment="1" applyProtection="1">
      <alignment horizontal="center" vertical="center"/>
      <protection locked="0"/>
    </xf>
    <xf numFmtId="49" fontId="16" fillId="0" borderId="1" xfId="0" applyNumberFormat="1" applyFont="1" applyBorder="1" applyAlignment="1" applyProtection="1">
      <alignment horizontal="left" vertical="center" wrapText="1"/>
      <protection locked="0"/>
    </xf>
    <xf numFmtId="0" fontId="5" fillId="0" borderId="1" xfId="0" quotePrefix="1" applyFont="1" applyBorder="1" applyAlignment="1" applyProtection="1">
      <alignment vertical="center" wrapText="1"/>
      <protection locked="0"/>
    </xf>
    <xf numFmtId="167" fontId="5" fillId="0" borderId="1" xfId="6" applyNumberFormat="1" applyFont="1" applyFill="1" applyBorder="1" applyAlignment="1" applyProtection="1">
      <alignment horizontal="center" vertical="center"/>
      <protection locked="0"/>
    </xf>
    <xf numFmtId="0" fontId="18"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top" wrapText="1"/>
      <protection locked="0"/>
    </xf>
    <xf numFmtId="0" fontId="0" fillId="0" borderId="1" xfId="0" applyBorder="1"/>
    <xf numFmtId="0" fontId="5" fillId="2" borderId="3"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left" vertical="top" wrapText="1"/>
      <protection locked="0"/>
    </xf>
    <xf numFmtId="0" fontId="5" fillId="0" borderId="3" xfId="0" applyFont="1" applyBorder="1" applyAlignment="1" applyProtection="1">
      <alignment horizontal="left" vertical="center"/>
      <protection locked="0"/>
    </xf>
    <xf numFmtId="14" fontId="5" fillId="0" borderId="1" xfId="0" applyNumberFormat="1" applyFont="1" applyBorder="1" applyAlignment="1" applyProtection="1">
      <alignment vertical="center" wrapText="1"/>
      <protection locked="0"/>
    </xf>
    <xf numFmtId="14" fontId="5" fillId="0" borderId="3" xfId="0" applyNumberFormat="1" applyFont="1" applyBorder="1" applyAlignment="1" applyProtection="1">
      <alignment horizontal="center" vertical="center"/>
      <protection locked="0"/>
    </xf>
    <xf numFmtId="0" fontId="16" fillId="0" borderId="1" xfId="0" applyFont="1" applyBorder="1" applyAlignment="1">
      <alignment horizontal="center" wrapText="1"/>
    </xf>
    <xf numFmtId="0" fontId="16" fillId="0" borderId="1" xfId="0" applyFont="1" applyBorder="1" applyAlignment="1">
      <alignment horizontal="center"/>
    </xf>
    <xf numFmtId="0" fontId="16" fillId="0" borderId="1" xfId="0" applyFont="1" applyBorder="1" applyAlignment="1" applyProtection="1">
      <alignment wrapText="1"/>
      <protection locked="0"/>
    </xf>
    <xf numFmtId="14" fontId="16" fillId="0" borderId="1" xfId="0" applyNumberFormat="1" applyFont="1" applyBorder="1" applyAlignment="1" applyProtection="1">
      <alignment horizontal="center"/>
      <protection locked="0"/>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168" fontId="16" fillId="0" borderId="1" xfId="6" applyNumberFormat="1" applyFont="1" applyFill="1" applyBorder="1" applyAlignment="1" applyProtection="1">
      <alignment horizontal="center" vertical="center" wrapText="1"/>
      <protection locked="0"/>
    </xf>
    <xf numFmtId="0" fontId="16" fillId="0" borderId="1" xfId="0" applyFont="1" applyBorder="1" applyProtection="1">
      <protection locked="0"/>
    </xf>
    <xf numFmtId="0" fontId="17" fillId="0" borderId="1" xfId="0" applyFont="1" applyBorder="1" applyAlignment="1">
      <alignment horizontal="center" wrapText="1"/>
    </xf>
    <xf numFmtId="0" fontId="17" fillId="0" borderId="1" xfId="0" applyFont="1" applyBorder="1" applyAlignment="1">
      <alignment horizontal="center"/>
    </xf>
    <xf numFmtId="0" fontId="17" fillId="0" borderId="1" xfId="0" applyFont="1" applyBorder="1" applyAlignment="1" applyProtection="1">
      <alignment wrapText="1"/>
      <protection locked="0"/>
    </xf>
    <xf numFmtId="14" fontId="17"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vertical="center"/>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Protection="1">
      <protection locked="0"/>
    </xf>
    <xf numFmtId="0" fontId="17" fillId="0" borderId="1" xfId="0" applyFont="1" applyBorder="1" applyAlignment="1">
      <alignment horizontal="center" vertical="center" wrapText="1"/>
    </xf>
    <xf numFmtId="0" fontId="17" fillId="0" borderId="1" xfId="0" applyFont="1" applyBorder="1" applyAlignment="1" applyProtection="1">
      <alignment vertical="center" wrapText="1"/>
      <protection locked="0"/>
    </xf>
    <xf numFmtId="14" fontId="17" fillId="0" borderId="1" xfId="0" applyNumberFormat="1" applyFont="1" applyBorder="1" applyAlignment="1" applyProtection="1">
      <alignment horizontal="center" vertical="center"/>
      <protection locked="0"/>
    </xf>
    <xf numFmtId="14" fontId="5" fillId="0" borderId="1" xfId="0" applyNumberFormat="1" applyFont="1" applyBorder="1" applyAlignment="1">
      <alignment horizontal="center" vertical="center"/>
    </xf>
    <xf numFmtId="0" fontId="5" fillId="0" borderId="3" xfId="0" applyFont="1" applyBorder="1" applyAlignment="1" applyProtection="1">
      <alignment vertical="center"/>
      <protection locked="0"/>
    </xf>
    <xf numFmtId="0" fontId="5" fillId="2" borderId="1" xfId="0" applyFont="1" applyFill="1" applyBorder="1" applyAlignment="1" applyProtection="1">
      <alignment vertical="center"/>
      <protection locked="0"/>
    </xf>
    <xf numFmtId="14" fontId="5" fillId="0" borderId="1" xfId="0" applyNumberFormat="1" applyFont="1" applyBorder="1" applyAlignment="1">
      <alignment horizontal="center" vertical="center" wrapText="1"/>
    </xf>
    <xf numFmtId="0" fontId="5" fillId="0" borderId="1" xfId="0" applyFont="1" applyBorder="1" applyAlignment="1">
      <alignment horizontal="left" wrapText="1"/>
    </xf>
    <xf numFmtId="0" fontId="9" fillId="0" borderId="0" xfId="0" applyFont="1"/>
    <xf numFmtId="14" fontId="5" fillId="0" borderId="2" xfId="0" applyNumberFormat="1" applyFont="1" applyBorder="1" applyAlignment="1" applyProtection="1">
      <alignment horizontal="center" vertical="center"/>
      <protection locked="0"/>
    </xf>
    <xf numFmtId="0" fontId="17" fillId="0" borderId="1" xfId="0" applyFont="1" applyBorder="1" applyAlignment="1" applyProtection="1">
      <alignment horizontal="center" wrapText="1"/>
      <protection locked="0"/>
    </xf>
    <xf numFmtId="0" fontId="17" fillId="0" borderId="1" xfId="0" applyFont="1" applyBorder="1" applyAlignment="1" applyProtection="1">
      <alignment horizontal="left" vertical="center" wrapText="1"/>
      <protection locked="0"/>
    </xf>
    <xf numFmtId="14" fontId="17" fillId="0" borderId="1" xfId="0" applyNumberFormat="1" applyFont="1" applyBorder="1" applyAlignment="1" applyProtection="1">
      <alignment horizontal="center" vertical="center" wrapText="1"/>
      <protection locked="0"/>
    </xf>
    <xf numFmtId="0" fontId="0" fillId="0" borderId="0" xfId="0" applyAlignment="1" applyProtection="1">
      <alignment vertical="center"/>
      <protection locked="0"/>
    </xf>
    <xf numFmtId="0" fontId="30" fillId="0" borderId="0" xfId="0" applyFont="1"/>
    <xf numFmtId="168" fontId="5" fillId="0" borderId="1" xfId="0" applyNumberFormat="1" applyFont="1" applyBorder="1" applyAlignment="1" applyProtection="1">
      <alignment horizontal="left" vertical="center" wrapText="1"/>
      <protection locked="0"/>
    </xf>
    <xf numFmtId="168" fontId="5" fillId="0" borderId="1" xfId="0" applyNumberFormat="1" applyFont="1" applyBorder="1" applyAlignment="1">
      <alignment horizontal="center" vertical="center" wrapText="1"/>
    </xf>
    <xf numFmtId="167" fontId="5" fillId="0" borderId="1" xfId="0" applyNumberFormat="1" applyFont="1" applyBorder="1" applyAlignment="1">
      <alignment horizontal="left" vertical="top"/>
    </xf>
    <xf numFmtId="165" fontId="5" fillId="0" borderId="2" xfId="0" applyNumberFormat="1" applyFont="1" applyBorder="1" applyAlignment="1" applyProtection="1">
      <alignment horizontal="center" vertical="center" wrapText="1"/>
      <protection locked="0"/>
    </xf>
    <xf numFmtId="165" fontId="5" fillId="0" borderId="2" xfId="0" applyNumberFormat="1" applyFont="1" applyBorder="1" applyAlignment="1" applyProtection="1">
      <alignment horizontal="center" wrapText="1"/>
      <protection locked="0"/>
    </xf>
    <xf numFmtId="166" fontId="5" fillId="0" borderId="2" xfId="0" applyNumberFormat="1" applyFont="1" applyBorder="1" applyAlignment="1" applyProtection="1">
      <alignment horizontal="center" vertical="center" wrapText="1"/>
      <protection locked="0"/>
    </xf>
    <xf numFmtId="168" fontId="5" fillId="0" borderId="2" xfId="0" applyNumberFormat="1" applyFont="1" applyBorder="1" applyAlignment="1" applyProtection="1">
      <alignment horizontal="center" vertical="center" wrapText="1"/>
      <protection locked="0"/>
    </xf>
    <xf numFmtId="0" fontId="5" fillId="0" borderId="2" xfId="0" applyFont="1" applyBorder="1" applyAlignment="1">
      <alignment horizontal="center" vertical="center"/>
    </xf>
    <xf numFmtId="166" fontId="5" fillId="2" borderId="2" xfId="0" applyNumberFormat="1"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165" fontId="5" fillId="6" borderId="2" xfId="0" applyNumberFormat="1" applyFont="1" applyFill="1" applyBorder="1" applyAlignment="1" applyProtection="1">
      <alignment horizontal="center" vertical="center" wrapText="1"/>
      <protection locked="0"/>
    </xf>
    <xf numFmtId="165" fontId="5" fillId="0" borderId="2" xfId="0" applyNumberFormat="1" applyFont="1" applyBorder="1" applyAlignment="1">
      <alignment horizontal="center" vertical="center" wrapText="1"/>
    </xf>
    <xf numFmtId="168" fontId="5" fillId="6" borderId="2" xfId="0" applyNumberFormat="1" applyFont="1" applyFill="1" applyBorder="1" applyAlignment="1" applyProtection="1">
      <alignment horizontal="center" vertical="center" wrapText="1"/>
      <protection locked="0"/>
    </xf>
    <xf numFmtId="165" fontId="5" fillId="6" borderId="2" xfId="0" applyNumberFormat="1" applyFont="1" applyFill="1" applyBorder="1" applyAlignment="1">
      <alignment horizontal="center" vertical="center" wrapText="1"/>
    </xf>
    <xf numFmtId="165" fontId="5" fillId="0" borderId="2" xfId="0" applyNumberFormat="1" applyFont="1" applyBorder="1" applyAlignment="1" applyProtection="1">
      <alignment horizontal="left" vertical="center" wrapText="1"/>
      <protection locked="0"/>
    </xf>
    <xf numFmtId="0" fontId="8" fillId="0" borderId="1" xfId="0" applyFont="1" applyBorder="1" applyAlignment="1" applyProtection="1">
      <alignment vertical="center"/>
      <protection locked="0"/>
    </xf>
    <xf numFmtId="0" fontId="0" fillId="0" borderId="1" xfId="0" applyBorder="1" applyProtection="1">
      <protection locked="0"/>
    </xf>
    <xf numFmtId="0" fontId="5" fillId="0" borderId="1" xfId="0" applyFont="1" applyBorder="1"/>
    <xf numFmtId="0" fontId="5" fillId="0" borderId="3" xfId="0" applyFont="1" applyBorder="1" applyAlignment="1" applyProtection="1">
      <alignment vertical="center" wrapText="1"/>
      <protection locked="0"/>
    </xf>
    <xf numFmtId="14" fontId="5" fillId="0" borderId="1" xfId="0" applyNumberFormat="1" applyFont="1" applyBorder="1" applyAlignment="1" applyProtection="1">
      <alignment horizontal="left" vertical="center" wrapText="1"/>
      <protection locked="0"/>
    </xf>
    <xf numFmtId="0" fontId="0" fillId="0" borderId="3" xfId="0" applyBorder="1" applyProtection="1">
      <protection locked="0"/>
    </xf>
    <xf numFmtId="0" fontId="5" fillId="7" borderId="1" xfId="0" applyFont="1" applyFill="1" applyBorder="1" applyAlignment="1" applyProtection="1">
      <alignment horizontal="left" vertical="center" wrapText="1"/>
      <protection locked="0"/>
    </xf>
    <xf numFmtId="0" fontId="33" fillId="0" borderId="1" xfId="0" applyFont="1" applyBorder="1" applyAlignment="1">
      <alignment horizontal="left" vertical="center" wrapText="1" indent="1"/>
    </xf>
    <xf numFmtId="0" fontId="0" fillId="2" borderId="0" xfId="0" applyFill="1"/>
    <xf numFmtId="14" fontId="5" fillId="0" borderId="1" xfId="0" applyNumberFormat="1" applyFont="1" applyBorder="1" applyAlignment="1" applyProtection="1">
      <alignment horizontal="center" vertical="center"/>
      <protection locked="0"/>
    </xf>
    <xf numFmtId="14" fontId="5" fillId="2" borderId="1" xfId="0" applyNumberFormat="1" applyFont="1" applyFill="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0" fillId="0" borderId="2" xfId="0" applyBorder="1"/>
    <xf numFmtId="0" fontId="5" fillId="0" borderId="6" xfId="0" applyFont="1" applyBorder="1" applyAlignment="1" applyProtection="1">
      <alignment horizontal="left" vertical="center" wrapText="1"/>
      <protection locked="0"/>
    </xf>
    <xf numFmtId="0" fontId="5" fillId="4" borderId="1" xfId="0" applyFont="1" applyFill="1" applyBorder="1" applyAlignment="1" applyProtection="1">
      <alignment vertical="center"/>
      <protection locked="0"/>
    </xf>
    <xf numFmtId="0" fontId="5" fillId="4" borderId="3"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vertical="center" wrapText="1"/>
      <protection locked="0"/>
    </xf>
    <xf numFmtId="14" fontId="5" fillId="4" borderId="1" xfId="0" applyNumberFormat="1"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0" fontId="0" fillId="4" borderId="0" xfId="0" applyFill="1"/>
    <xf numFmtId="49" fontId="5" fillId="4" borderId="2" xfId="0" applyNumberFormat="1" applyFont="1" applyFill="1" applyBorder="1" applyAlignment="1" applyProtection="1">
      <alignment horizontal="center" vertical="center" wrapText="1"/>
      <protection locked="0"/>
    </xf>
    <xf numFmtId="168" fontId="5" fillId="0" borderId="0" xfId="6" applyNumberFormat="1" applyFont="1" applyFill="1" applyBorder="1" applyAlignment="1" applyProtection="1">
      <alignment horizontal="center" vertical="center" wrapText="1"/>
      <protection locked="0"/>
    </xf>
    <xf numFmtId="4" fontId="0" fillId="0" borderId="1" xfId="0" applyNumberFormat="1" applyBorder="1" applyAlignment="1">
      <alignment horizontal="center" vertical="center"/>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lignment vertical="center"/>
    </xf>
    <xf numFmtId="168" fontId="5" fillId="0" borderId="6" xfId="6" applyNumberFormat="1"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0" fontId="5" fillId="0" borderId="6" xfId="0" applyFont="1" applyBorder="1" applyAlignment="1" applyProtection="1">
      <alignment vertical="center"/>
      <protection locked="0"/>
    </xf>
    <xf numFmtId="14" fontId="5" fillId="0" borderId="6"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168" fontId="5" fillId="0" borderId="3" xfId="6" applyNumberFormat="1" applyFont="1" applyFill="1" applyBorder="1" applyAlignment="1" applyProtection="1">
      <alignment horizontal="center" vertical="center" wrapText="1"/>
      <protection locked="0"/>
    </xf>
    <xf numFmtId="14" fontId="5" fillId="6" borderId="1" xfId="0" applyNumberFormat="1" applyFont="1" applyFill="1" applyBorder="1" applyAlignment="1" applyProtection="1">
      <alignment horizontal="center" vertical="center"/>
      <protection locked="0"/>
    </xf>
    <xf numFmtId="168" fontId="5" fillId="0" borderId="0" xfId="0" applyNumberFormat="1" applyFont="1" applyAlignment="1" applyProtection="1">
      <alignment horizontal="center" vertical="center" wrapText="1"/>
      <protection locked="0"/>
    </xf>
    <xf numFmtId="167" fontId="6" fillId="5" borderId="1" xfId="0" applyNumberFormat="1" applyFont="1" applyFill="1" applyBorder="1" applyAlignment="1" applyProtection="1">
      <alignment horizontal="left" vertical="center" wrapText="1"/>
      <protection locked="0"/>
    </xf>
    <xf numFmtId="167" fontId="6" fillId="5" borderId="3" xfId="0" applyNumberFormat="1" applyFont="1" applyFill="1" applyBorder="1" applyAlignment="1" applyProtection="1">
      <alignment horizontal="center" vertical="center" wrapText="1"/>
      <protection locked="0"/>
    </xf>
    <xf numFmtId="165"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5" fillId="0" borderId="1" xfId="0" applyFont="1" applyBorder="1" applyProtection="1">
      <protection locked="0"/>
    </xf>
    <xf numFmtId="165" fontId="5" fillId="0" borderId="1" xfId="0" applyNumberFormat="1" applyFont="1" applyBorder="1" applyAlignment="1" applyProtection="1">
      <alignment horizontal="center" vertical="center"/>
      <protection locked="0"/>
    </xf>
    <xf numFmtId="14" fontId="5" fillId="0" borderId="1" xfId="0" applyNumberFormat="1" applyFont="1" applyBorder="1" applyAlignment="1" applyProtection="1">
      <alignment horizontal="center" wrapText="1"/>
      <protection locked="0"/>
    </xf>
    <xf numFmtId="14" fontId="5" fillId="0" borderId="6" xfId="0" applyNumberFormat="1" applyFont="1" applyBorder="1" applyAlignment="1" applyProtection="1">
      <alignment horizontal="center" vertical="center"/>
      <protection locked="0"/>
    </xf>
    <xf numFmtId="0" fontId="36" fillId="0" borderId="1" xfId="0" applyFont="1" applyBorder="1" applyAlignment="1">
      <alignment vertical="center"/>
    </xf>
    <xf numFmtId="168" fontId="5" fillId="0" borderId="2" xfId="6" applyNumberFormat="1" applyFont="1" applyFill="1" applyBorder="1" applyAlignment="1" applyProtection="1">
      <alignment horizontal="center" vertical="center" wrapText="1"/>
      <protection locked="0"/>
    </xf>
    <xf numFmtId="168" fontId="5" fillId="0" borderId="2" xfId="0" applyNumberFormat="1" applyFont="1" applyBorder="1" applyAlignment="1" applyProtection="1">
      <alignment horizontal="center" vertical="center"/>
      <protection locked="0"/>
    </xf>
    <xf numFmtId="168" fontId="5" fillId="0" borderId="2" xfId="0" quotePrefix="1" applyNumberFormat="1" applyFont="1" applyBorder="1" applyAlignment="1" applyProtection="1">
      <alignment horizontal="center" vertical="center" wrapText="1"/>
      <protection locked="0"/>
    </xf>
    <xf numFmtId="168" fontId="6" fillId="5" borderId="2" xfId="0" applyNumberFormat="1" applyFont="1" applyFill="1" applyBorder="1" applyAlignment="1" applyProtection="1">
      <alignment horizontal="center" vertical="center" wrapText="1"/>
      <protection locked="0"/>
    </xf>
    <xf numFmtId="167" fontId="5" fillId="0" borderId="2" xfId="0" applyNumberFormat="1" applyFont="1" applyBorder="1" applyAlignment="1" applyProtection="1">
      <alignment horizontal="center" vertical="center" wrapText="1"/>
      <protection locked="0"/>
    </xf>
    <xf numFmtId="167" fontId="5" fillId="0" borderId="2" xfId="0" applyNumberFormat="1" applyFont="1" applyBorder="1" applyAlignment="1" applyProtection="1">
      <alignment horizontal="center" vertical="center"/>
      <protection locked="0"/>
    </xf>
    <xf numFmtId="167" fontId="5" fillId="0" borderId="2" xfId="6" applyNumberFormat="1" applyFont="1" applyFill="1" applyBorder="1" applyAlignment="1" applyProtection="1">
      <alignment horizontal="center" vertical="center" wrapText="1"/>
      <protection locked="0"/>
    </xf>
    <xf numFmtId="168" fontId="5" fillId="2" borderId="2" xfId="0" applyNumberFormat="1" applyFont="1" applyFill="1" applyBorder="1" applyAlignment="1" applyProtection="1">
      <alignment horizontal="center" vertical="center"/>
      <protection locked="0"/>
    </xf>
    <xf numFmtId="168" fontId="5" fillId="2" borderId="2" xfId="0" applyNumberFormat="1" applyFont="1" applyFill="1" applyBorder="1" applyAlignment="1" applyProtection="1">
      <alignment horizontal="center" vertical="center" wrapText="1"/>
      <protection locked="0"/>
    </xf>
    <xf numFmtId="168" fontId="17" fillId="0" borderId="2" xfId="0" applyNumberFormat="1" applyFont="1" applyBorder="1" applyAlignment="1">
      <alignment horizontal="center" vertical="center"/>
    </xf>
    <xf numFmtId="167" fontId="5" fillId="0" borderId="2" xfId="0" applyNumberFormat="1" applyFont="1" applyBorder="1" applyAlignment="1">
      <alignment horizontal="left" vertical="top"/>
    </xf>
    <xf numFmtId="168" fontId="16" fillId="0" borderId="2" xfId="0" applyNumberFormat="1" applyFont="1" applyBorder="1" applyAlignment="1" applyProtection="1">
      <alignment horizontal="center" vertical="center"/>
      <protection locked="0"/>
    </xf>
    <xf numFmtId="168" fontId="17" fillId="0" borderId="2" xfId="0" applyNumberFormat="1" applyFont="1" applyBorder="1" applyAlignment="1" applyProtection="1">
      <alignment horizontal="center" vertical="center"/>
      <protection locked="0"/>
    </xf>
    <xf numFmtId="164" fontId="5" fillId="0" borderId="2" xfId="0" applyNumberFormat="1" applyFont="1" applyBorder="1" applyAlignment="1" applyProtection="1">
      <alignment horizontal="right" vertical="center" wrapText="1"/>
      <protection locked="0"/>
    </xf>
    <xf numFmtId="168" fontId="5" fillId="0" borderId="2" xfId="0" applyNumberFormat="1" applyFont="1" applyBorder="1" applyAlignment="1" applyProtection="1">
      <alignment horizontal="left" vertical="center" wrapText="1"/>
      <protection locked="0"/>
    </xf>
    <xf numFmtId="168" fontId="5" fillId="0" borderId="2" xfId="0" applyNumberFormat="1" applyFont="1" applyBorder="1" applyAlignment="1">
      <alignment horizontal="center" vertical="center" wrapText="1"/>
    </xf>
    <xf numFmtId="168" fontId="14" fillId="0" borderId="2" xfId="0" applyNumberFormat="1" applyFont="1" applyBorder="1" applyAlignment="1" applyProtection="1">
      <alignment horizontal="center" vertical="center" wrapText="1"/>
      <protection locked="0"/>
    </xf>
    <xf numFmtId="168" fontId="5" fillId="4" borderId="2" xfId="0" applyNumberFormat="1" applyFont="1" applyFill="1" applyBorder="1" applyAlignment="1" applyProtection="1">
      <alignment horizontal="center" vertical="center"/>
      <protection locked="0"/>
    </xf>
    <xf numFmtId="0" fontId="34" fillId="0" borderId="2" xfId="0" applyFont="1" applyBorder="1" applyAlignment="1">
      <alignment horizontal="center" vertical="center"/>
    </xf>
    <xf numFmtId="0" fontId="37" fillId="0" borderId="0" xfId="0" applyFont="1"/>
    <xf numFmtId="167" fontId="5" fillId="0" borderId="1" xfId="0" applyNumberFormat="1" applyFont="1" applyBorder="1" applyAlignment="1" applyProtection="1">
      <alignment horizontal="center" wrapText="1"/>
      <protection locked="0"/>
    </xf>
    <xf numFmtId="166" fontId="5" fillId="0" borderId="1" xfId="0" applyNumberFormat="1" applyFont="1" applyBorder="1" applyAlignment="1" applyProtection="1">
      <alignment horizontal="center" wrapText="1"/>
      <protection locked="0"/>
    </xf>
    <xf numFmtId="167" fontId="5" fillId="2" borderId="2" xfId="0" applyNumberFormat="1" applyFont="1" applyFill="1" applyBorder="1" applyAlignment="1" applyProtection="1">
      <alignment horizontal="center" vertical="center" wrapText="1"/>
      <protection locked="0"/>
    </xf>
    <xf numFmtId="167" fontId="5" fillId="2" borderId="2" xfId="0" applyNumberFormat="1" applyFont="1" applyFill="1" applyBorder="1" applyAlignment="1" applyProtection="1">
      <alignment horizontal="center" vertical="center"/>
      <protection locked="0"/>
    </xf>
    <xf numFmtId="14" fontId="5" fillId="0" borderId="1" xfId="0" applyNumberFormat="1" applyFont="1" applyBorder="1" applyAlignment="1" applyProtection="1">
      <alignment vertical="center"/>
      <protection locked="0"/>
    </xf>
    <xf numFmtId="168" fontId="5" fillId="0" borderId="1" xfId="6" applyNumberFormat="1" applyFont="1" applyFill="1" applyBorder="1" applyAlignment="1" applyProtection="1">
      <alignment vertical="center" wrapText="1"/>
      <protection locked="0"/>
    </xf>
    <xf numFmtId="0" fontId="5" fillId="0" borderId="2" xfId="0" applyFont="1" applyBorder="1" applyAlignment="1" applyProtection="1">
      <alignment vertical="center" wrapText="1"/>
      <protection locked="0"/>
    </xf>
    <xf numFmtId="165" fontId="5" fillId="0" borderId="1" xfId="0" applyNumberFormat="1" applyFont="1" applyBorder="1" applyAlignment="1" applyProtection="1">
      <alignment vertical="center" wrapText="1"/>
      <protection locked="0"/>
    </xf>
    <xf numFmtId="168" fontId="5" fillId="0" borderId="2" xfId="0" applyNumberFormat="1" applyFont="1" applyBorder="1" applyAlignment="1" applyProtection="1">
      <alignment vertical="center"/>
      <protection locked="0"/>
    </xf>
    <xf numFmtId="167" fontId="5" fillId="0" borderId="2" xfId="0" applyNumberFormat="1" applyFont="1" applyBorder="1" applyAlignment="1">
      <alignment horizontal="center" vertical="center"/>
    </xf>
    <xf numFmtId="0" fontId="5" fillId="2" borderId="1" xfId="0" applyFont="1" applyFill="1" applyBorder="1" applyAlignment="1">
      <alignment horizontal="center" vertical="center"/>
    </xf>
    <xf numFmtId="0" fontId="5" fillId="4" borderId="1" xfId="0" applyFont="1" applyFill="1" applyBorder="1" applyAlignment="1">
      <alignment horizontal="center" vertical="center"/>
    </xf>
    <xf numFmtId="8" fontId="5" fillId="4" borderId="1" xfId="0" applyNumberFormat="1" applyFont="1" applyFill="1" applyBorder="1" applyAlignment="1" applyProtection="1">
      <alignment horizontal="center" vertical="center" wrapText="1"/>
      <protection locked="0"/>
    </xf>
    <xf numFmtId="168" fontId="5" fillId="4" borderId="2" xfId="0" applyNumberFormat="1" applyFont="1" applyFill="1" applyBorder="1" applyAlignment="1" applyProtection="1">
      <alignment horizontal="center" vertical="center" wrapText="1"/>
      <protection locked="0"/>
    </xf>
    <xf numFmtId="0" fontId="9" fillId="0" borderId="1" xfId="0" applyFont="1" applyBorder="1" applyAlignment="1">
      <alignment horizontal="left"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168" fontId="9" fillId="0" borderId="1" xfId="0" applyNumberFormat="1" applyFont="1" applyBorder="1" applyAlignment="1">
      <alignment horizontal="center" vertical="center" wrapText="1"/>
    </xf>
    <xf numFmtId="6" fontId="9" fillId="0" borderId="2" xfId="0" applyNumberFormat="1" applyFont="1" applyBorder="1" applyAlignment="1">
      <alignment horizontal="center" vertical="center" wrapText="1"/>
    </xf>
    <xf numFmtId="0" fontId="5" fillId="6" borderId="1"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protection locked="0"/>
    </xf>
    <xf numFmtId="0" fontId="5" fillId="7" borderId="1" xfId="0" applyFont="1" applyFill="1" applyBorder="1" applyAlignment="1" applyProtection="1">
      <alignment vertical="center" wrapText="1"/>
      <protection locked="0"/>
    </xf>
    <xf numFmtId="49" fontId="5" fillId="2" borderId="1" xfId="0" applyNumberFormat="1" applyFont="1" applyFill="1" applyBorder="1" applyAlignment="1" applyProtection="1">
      <alignment horizontal="center" vertical="center" wrapText="1"/>
      <protection locked="0"/>
    </xf>
    <xf numFmtId="0" fontId="5" fillId="0" borderId="7" xfId="0" applyFont="1" applyBorder="1" applyAlignment="1" applyProtection="1">
      <alignment horizontal="left" vertical="center" wrapText="1"/>
      <protection locked="0"/>
    </xf>
    <xf numFmtId="0" fontId="5" fillId="0" borderId="12" xfId="0" applyFont="1" applyBorder="1" applyAlignment="1" applyProtection="1">
      <alignment vertical="center"/>
      <protection locked="0"/>
    </xf>
    <xf numFmtId="0" fontId="5" fillId="7" borderId="1" xfId="0" applyFont="1" applyFill="1" applyBorder="1" applyAlignment="1" applyProtection="1">
      <alignment horizontal="center" vertical="center" wrapText="1"/>
      <protection locked="0"/>
    </xf>
    <xf numFmtId="0" fontId="5" fillId="0" borderId="12" xfId="0" applyFont="1" applyBorder="1" applyAlignment="1" applyProtection="1">
      <alignment vertical="center" wrapText="1"/>
      <protection locked="0"/>
    </xf>
    <xf numFmtId="0" fontId="5" fillId="0" borderId="8"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9" fillId="0" borderId="0" xfId="0" applyFont="1" applyAlignment="1">
      <alignment vertical="center"/>
    </xf>
    <xf numFmtId="0" fontId="5" fillId="0" borderId="7" xfId="0" applyFont="1" applyBorder="1" applyAlignment="1" applyProtection="1">
      <alignment vertical="center"/>
      <protection locked="0"/>
    </xf>
    <xf numFmtId="0" fontId="5" fillId="0" borderId="7" xfId="0" applyFont="1" applyBorder="1" applyAlignment="1" applyProtection="1">
      <alignment vertical="center" wrapText="1"/>
      <protection locked="0"/>
    </xf>
    <xf numFmtId="168" fontId="5" fillId="0" borderId="7" xfId="6" applyNumberFormat="1" applyFont="1" applyFill="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14" fontId="5" fillId="0" borderId="12" xfId="0" applyNumberFormat="1" applyFont="1" applyBorder="1" applyAlignment="1" applyProtection="1">
      <alignment horizontal="center" vertical="center" wrapText="1"/>
      <protection locked="0"/>
    </xf>
    <xf numFmtId="0" fontId="5" fillId="0" borderId="12" xfId="0" applyFont="1" applyBorder="1" applyAlignment="1" applyProtection="1">
      <alignment horizontal="center" vertical="center"/>
      <protection locked="0"/>
    </xf>
    <xf numFmtId="168" fontId="5" fillId="0" borderId="12" xfId="6" applyNumberFormat="1" applyFont="1" applyFill="1" applyBorder="1" applyAlignment="1" applyProtection="1">
      <alignment horizontal="center" vertical="center" wrapText="1"/>
      <protection locked="0"/>
    </xf>
    <xf numFmtId="0" fontId="5" fillId="0" borderId="12" xfId="0" applyFont="1" applyBorder="1" applyAlignment="1" applyProtection="1">
      <alignment horizontal="left" vertical="center" wrapText="1"/>
      <protection locked="0"/>
    </xf>
    <xf numFmtId="14" fontId="5" fillId="0" borderId="7"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5" fillId="0" borderId="13" xfId="0" applyFont="1" applyBorder="1" applyAlignment="1" applyProtection="1">
      <alignment vertical="center"/>
      <protection locked="0"/>
    </xf>
    <xf numFmtId="49" fontId="5" fillId="0" borderId="12" xfId="0" applyNumberFormat="1" applyFont="1" applyBorder="1" applyAlignment="1" applyProtection="1">
      <alignment horizontal="center" vertical="center" wrapText="1"/>
      <protection locked="0"/>
    </xf>
    <xf numFmtId="14" fontId="5" fillId="0" borderId="12" xfId="0" applyNumberFormat="1" applyFont="1" applyBorder="1" applyAlignment="1" applyProtection="1">
      <alignment horizontal="center" vertical="center"/>
      <protection locked="0"/>
    </xf>
    <xf numFmtId="0" fontId="3" fillId="0" borderId="0" xfId="0" applyFont="1" applyAlignment="1">
      <alignment vertical="center"/>
    </xf>
    <xf numFmtId="0" fontId="3" fillId="0" borderId="0" xfId="0" applyFont="1"/>
    <xf numFmtId="0" fontId="3" fillId="0" borderId="0" xfId="0" applyFont="1" applyProtection="1">
      <protection locked="0"/>
    </xf>
    <xf numFmtId="0" fontId="3" fillId="0" borderId="0" xfId="0" applyFont="1" applyAlignment="1">
      <alignment horizontal="center" vertical="center"/>
    </xf>
    <xf numFmtId="0" fontId="3" fillId="2" borderId="0" xfId="0" applyFont="1" applyFill="1"/>
    <xf numFmtId="0" fontId="5" fillId="0" borderId="13" xfId="0" applyFont="1" applyBorder="1" applyAlignment="1" applyProtection="1">
      <alignment horizontal="center" vertical="center" wrapText="1"/>
      <protection locked="0"/>
    </xf>
    <xf numFmtId="0" fontId="3" fillId="4" borderId="0" xfId="0" applyFont="1" applyFill="1"/>
    <xf numFmtId="0" fontId="40" fillId="0" borderId="1" xfId="0" applyFont="1" applyBorder="1" applyAlignment="1">
      <alignment vertical="center" wrapText="1"/>
    </xf>
    <xf numFmtId="0" fontId="37" fillId="0" borderId="0" xfId="0" applyFont="1" applyAlignment="1" applyProtection="1">
      <alignment vertical="center"/>
      <protection locked="0"/>
    </xf>
    <xf numFmtId="168" fontId="5" fillId="0" borderId="12" xfId="0" applyNumberFormat="1" applyFont="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protection locked="0"/>
    </xf>
    <xf numFmtId="49" fontId="5" fillId="0" borderId="9" xfId="0" applyNumberFormat="1" applyFont="1" applyBorder="1" applyAlignment="1" applyProtection="1">
      <alignment horizontal="center" vertical="center" wrapText="1"/>
      <protection locked="0"/>
    </xf>
    <xf numFmtId="0" fontId="5" fillId="12" borderId="1" xfId="0" applyFont="1" applyFill="1" applyBorder="1" applyAlignment="1" applyProtection="1">
      <alignment horizontal="center" vertical="center" wrapText="1"/>
      <protection locked="0"/>
    </xf>
    <xf numFmtId="0" fontId="5" fillId="12" borderId="1" xfId="0" applyFont="1" applyFill="1" applyBorder="1" applyAlignment="1" applyProtection="1">
      <alignment horizontal="center" vertical="center"/>
      <protection locked="0"/>
    </xf>
    <xf numFmtId="168" fontId="5" fillId="0" borderId="8" xfId="6" applyNumberFormat="1" applyFont="1" applyFill="1" applyBorder="1" applyAlignment="1" applyProtection="1">
      <alignment horizontal="center" vertical="center" wrapText="1"/>
      <protection locked="0"/>
    </xf>
    <xf numFmtId="165" fontId="5" fillId="0" borderId="6" xfId="0" applyNumberFormat="1" applyFont="1" applyBorder="1" applyAlignment="1" applyProtection="1">
      <alignment horizontal="center" vertical="center" wrapText="1"/>
      <protection locked="0"/>
    </xf>
    <xf numFmtId="0" fontId="0" fillId="0" borderId="12" xfId="0" applyBorder="1"/>
    <xf numFmtId="0" fontId="0" fillId="0" borderId="12" xfId="0" applyBorder="1" applyAlignment="1">
      <alignment vertical="center"/>
    </xf>
    <xf numFmtId="0" fontId="0" fillId="0" borderId="13" xfId="0" applyBorder="1"/>
    <xf numFmtId="49" fontId="5" fillId="0" borderId="11" xfId="0" applyNumberFormat="1" applyFont="1" applyBorder="1" applyAlignment="1" applyProtection="1">
      <alignment horizontal="center" vertical="center" wrapText="1"/>
      <protection locked="0"/>
    </xf>
    <xf numFmtId="49" fontId="15" fillId="0" borderId="1" xfId="0" applyNumberFormat="1" applyFont="1" applyBorder="1" applyAlignment="1" applyProtection="1">
      <alignment horizontal="center" vertical="center"/>
      <protection locked="0"/>
    </xf>
    <xf numFmtId="0" fontId="5" fillId="4" borderId="2" xfId="0" applyFont="1" applyFill="1" applyBorder="1" applyAlignment="1" applyProtection="1">
      <alignment horizontal="center" vertical="center" wrapText="1"/>
      <protection locked="0"/>
    </xf>
    <xf numFmtId="0" fontId="0" fillId="0" borderId="3" xfId="0" applyBorder="1"/>
    <xf numFmtId="0" fontId="5" fillId="0" borderId="2" xfId="0" applyFont="1" applyBorder="1"/>
    <xf numFmtId="0" fontId="0" fillId="0" borderId="1" xfId="0" applyBorder="1" applyAlignment="1">
      <alignment vertical="center"/>
    </xf>
    <xf numFmtId="168" fontId="5" fillId="0" borderId="0" xfId="0" applyNumberFormat="1" applyFont="1" applyAlignment="1" applyProtection="1">
      <alignment horizontal="center" vertical="center"/>
      <protection locked="0"/>
    </xf>
    <xf numFmtId="0" fontId="5" fillId="0" borderId="9" xfId="0" applyFont="1" applyBorder="1" applyAlignment="1" applyProtection="1">
      <alignment horizontal="center" vertical="center" wrapText="1"/>
      <protection locked="0"/>
    </xf>
    <xf numFmtId="166" fontId="5" fillId="0" borderId="12" xfId="0" applyNumberFormat="1"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5" fillId="0" borderId="7" xfId="0" applyNumberFormat="1" applyFont="1" applyBorder="1" applyAlignment="1" applyProtection="1">
      <alignment horizontal="center" vertical="center" wrapText="1"/>
      <protection locked="0"/>
    </xf>
    <xf numFmtId="49" fontId="5" fillId="0" borderId="14" xfId="0" applyNumberFormat="1" applyFont="1" applyBorder="1" applyAlignment="1" applyProtection="1">
      <alignment horizontal="center" vertical="center" wrapText="1"/>
      <protection locked="0"/>
    </xf>
    <xf numFmtId="14" fontId="5" fillId="2" borderId="12" xfId="0" applyNumberFormat="1" applyFont="1" applyFill="1" applyBorder="1" applyAlignment="1" applyProtection="1">
      <alignment horizontal="center" vertical="center"/>
      <protection locked="0"/>
    </xf>
    <xf numFmtId="0" fontId="5" fillId="0" borderId="5" xfId="0" applyFont="1" applyBorder="1" applyAlignment="1" applyProtection="1">
      <alignment horizontal="left" vertical="center" wrapText="1"/>
      <protection locked="0"/>
    </xf>
    <xf numFmtId="49" fontId="5" fillId="0" borderId="12" xfId="0" applyNumberFormat="1" applyFont="1" applyBorder="1" applyAlignment="1" applyProtection="1">
      <alignment horizontal="center" vertical="center"/>
      <protection locked="0"/>
    </xf>
    <xf numFmtId="168" fontId="5" fillId="0" borderId="12" xfId="0" applyNumberFormat="1" applyFont="1" applyBorder="1" applyAlignment="1" applyProtection="1">
      <alignment horizontal="center" vertical="center"/>
      <protection locked="0"/>
    </xf>
    <xf numFmtId="14" fontId="5" fillId="0" borderId="0" xfId="0" applyNumberFormat="1" applyFont="1" applyAlignment="1" applyProtection="1">
      <alignment horizontal="center" vertical="center" wrapText="1"/>
      <protection locked="0"/>
    </xf>
    <xf numFmtId="0" fontId="5" fillId="2" borderId="0" xfId="0" applyFont="1" applyFill="1" applyAlignment="1">
      <alignment vertical="top"/>
    </xf>
    <xf numFmtId="0" fontId="43" fillId="0" borderId="0" xfId="0" applyFont="1" applyAlignment="1">
      <alignment vertical="top"/>
    </xf>
    <xf numFmtId="0" fontId="5" fillId="9" borderId="1" xfId="0" applyFont="1" applyFill="1" applyBorder="1" applyAlignment="1" applyProtection="1">
      <alignment horizontal="center" vertical="center" wrapText="1"/>
      <protection locked="0"/>
    </xf>
    <xf numFmtId="0" fontId="5" fillId="0" borderId="1" xfId="6" applyNumberFormat="1" applyFont="1" applyFill="1" applyBorder="1" applyAlignment="1">
      <alignment horizontal="center" vertical="center" wrapText="1"/>
    </xf>
    <xf numFmtId="0" fontId="5" fillId="0" borderId="0" xfId="0" applyFont="1" applyAlignment="1">
      <alignment vertical="top"/>
    </xf>
    <xf numFmtId="0" fontId="5" fillId="0" borderId="0" xfId="0" applyFont="1" applyAlignment="1">
      <alignment horizontal="center" vertical="center"/>
    </xf>
    <xf numFmtId="0" fontId="5" fillId="0" borderId="1" xfId="0" applyFont="1" applyBorder="1" applyAlignment="1">
      <alignmen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15" borderId="1" xfId="0" applyFont="1" applyFill="1" applyBorder="1" applyAlignment="1" applyProtection="1">
      <alignment horizontal="center" vertical="center" wrapText="1"/>
      <protection locked="0"/>
    </xf>
    <xf numFmtId="0" fontId="5" fillId="0" borderId="1" xfId="1" applyFont="1" applyBorder="1" applyAlignment="1">
      <alignment vertical="top" wrapText="1"/>
    </xf>
    <xf numFmtId="14" fontId="5" fillId="0" borderId="1" xfId="1" applyNumberFormat="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14" fontId="5" fillId="2" borderId="1" xfId="1" applyNumberFormat="1" applyFont="1" applyFill="1" applyBorder="1" applyAlignment="1">
      <alignment horizontal="center" vertical="center" wrapText="1"/>
    </xf>
    <xf numFmtId="168" fontId="5" fillId="0" borderId="1" xfId="1" applyNumberFormat="1" applyFont="1" applyBorder="1" applyAlignment="1">
      <alignment horizontal="center" vertical="center"/>
    </xf>
    <xf numFmtId="167" fontId="5" fillId="0" borderId="1" xfId="1" applyNumberFormat="1" applyFont="1" applyBorder="1" applyAlignment="1">
      <alignment horizontal="center" vertical="center" wrapText="1"/>
    </xf>
    <xf numFmtId="14" fontId="5" fillId="15" borderId="1" xfId="1" applyNumberFormat="1" applyFont="1" applyFill="1" applyBorder="1" applyAlignment="1">
      <alignment horizontal="center" vertical="center" wrapText="1"/>
    </xf>
    <xf numFmtId="14" fontId="5" fillId="14" borderId="1" xfId="1" applyNumberFormat="1" applyFont="1" applyFill="1" applyBorder="1" applyAlignment="1">
      <alignment horizontal="center" vertical="center" wrapText="1"/>
    </xf>
    <xf numFmtId="0" fontId="5" fillId="14" borderId="1" xfId="1" applyFont="1" applyFill="1" applyBorder="1" applyAlignment="1">
      <alignment horizontal="center" vertical="center"/>
    </xf>
    <xf numFmtId="0" fontId="5" fillId="14" borderId="1" xfId="1" applyFont="1" applyFill="1" applyBorder="1" applyAlignment="1">
      <alignment horizontal="center" vertical="center" wrapText="1"/>
    </xf>
    <xf numFmtId="168" fontId="5" fillId="14" borderId="1" xfId="1" applyNumberFormat="1" applyFont="1" applyFill="1" applyBorder="1" applyAlignment="1">
      <alignment horizontal="center" vertical="center"/>
    </xf>
    <xf numFmtId="167" fontId="5" fillId="14" borderId="1" xfId="1" applyNumberFormat="1" applyFont="1" applyFill="1" applyBorder="1" applyAlignment="1">
      <alignment horizontal="center" vertical="center" wrapText="1"/>
    </xf>
    <xf numFmtId="14" fontId="5" fillId="17" borderId="1" xfId="1" applyNumberFormat="1" applyFont="1" applyFill="1" applyBorder="1" applyAlignment="1">
      <alignment horizontal="center" vertical="center" wrapText="1"/>
    </xf>
    <xf numFmtId="0" fontId="5" fillId="17" borderId="1" xfId="1" applyFont="1" applyFill="1" applyBorder="1" applyAlignment="1">
      <alignment horizontal="center" vertical="center"/>
    </xf>
    <xf numFmtId="168" fontId="5" fillId="0" borderId="1" xfId="1" applyNumberFormat="1" applyFont="1" applyBorder="1" applyAlignment="1">
      <alignment horizontal="left" vertical="center"/>
    </xf>
    <xf numFmtId="0" fontId="5" fillId="0" borderId="2" xfId="1" applyFont="1" applyBorder="1" applyAlignment="1">
      <alignment horizontal="center" vertical="center" wrapText="1"/>
    </xf>
    <xf numFmtId="0" fontId="5" fillId="0" borderId="2" xfId="1" applyFont="1" applyBorder="1" applyAlignment="1">
      <alignment horizontal="center" vertical="center"/>
    </xf>
    <xf numFmtId="0" fontId="5" fillId="0" borderId="1" xfId="0" applyFont="1" applyBorder="1" applyAlignment="1">
      <alignment horizontal="left" vertical="center"/>
    </xf>
    <xf numFmtId="14" fontId="5" fillId="0" borderId="1" xfId="0" applyNumberFormat="1" applyFont="1" applyBorder="1" applyAlignment="1">
      <alignment horizontal="center" vertical="top" wrapText="1"/>
    </xf>
    <xf numFmtId="168" fontId="5" fillId="0" borderId="3" xfId="0" applyNumberFormat="1" applyFont="1" applyBorder="1" applyAlignment="1">
      <alignment horizontal="center" vertical="center" wrapText="1"/>
    </xf>
    <xf numFmtId="14" fontId="5" fillId="15" borderId="1" xfId="0" applyNumberFormat="1" applyFont="1" applyFill="1" applyBorder="1" applyAlignment="1" applyProtection="1">
      <alignment horizontal="center" vertical="center" wrapText="1"/>
      <protection locked="0"/>
    </xf>
    <xf numFmtId="0" fontId="43" fillId="0" borderId="1" xfId="0" applyFont="1" applyBorder="1" applyAlignment="1">
      <alignment vertical="top"/>
    </xf>
    <xf numFmtId="0" fontId="5" fillId="15" borderId="2" xfId="0" applyFont="1" applyFill="1" applyBorder="1" applyAlignment="1" applyProtection="1">
      <alignment horizontal="center" vertical="center" wrapText="1"/>
      <protection locked="0"/>
    </xf>
    <xf numFmtId="0" fontId="5" fillId="2" borderId="1" xfId="0" applyFont="1" applyFill="1" applyBorder="1" applyAlignment="1">
      <alignment vertical="top"/>
    </xf>
    <xf numFmtId="168" fontId="5" fillId="0" borderId="1" xfId="0" applyNumberFormat="1" applyFont="1" applyBorder="1" applyAlignment="1">
      <alignment horizontal="center" vertical="center"/>
    </xf>
    <xf numFmtId="14" fontId="5" fillId="2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5" fillId="20" borderId="1" xfId="0" applyFont="1" applyFill="1" applyBorder="1" applyAlignment="1" applyProtection="1">
      <alignment horizontal="center" vertical="center" wrapText="1"/>
      <protection locked="0"/>
    </xf>
    <xf numFmtId="168" fontId="5" fillId="2" borderId="1" xfId="0" applyNumberFormat="1" applyFont="1" applyFill="1" applyBorder="1" applyAlignment="1">
      <alignment horizontal="center" vertical="center" wrapText="1"/>
    </xf>
    <xf numFmtId="0" fontId="5" fillId="0" borderId="12" xfId="0" applyFont="1" applyBorder="1" applyAlignment="1">
      <alignment vertical="top"/>
    </xf>
    <xf numFmtId="0" fontId="5" fillId="0" borderId="0" xfId="0" applyFont="1" applyAlignment="1">
      <alignment horizontal="left" vertical="top"/>
    </xf>
    <xf numFmtId="0" fontId="5" fillId="0" borderId="0" xfId="0" applyFont="1" applyAlignment="1">
      <alignment horizontal="left" vertical="top" wrapText="1"/>
    </xf>
    <xf numFmtId="0" fontId="5" fillId="14" borderId="1" xfId="0" applyFont="1" applyFill="1" applyBorder="1" applyAlignment="1" applyProtection="1">
      <alignment horizontal="left" vertical="center" wrapText="1"/>
      <protection locked="0"/>
    </xf>
    <xf numFmtId="0" fontId="5" fillId="14" borderId="1" xfId="0" applyFont="1" applyFill="1" applyBorder="1" applyAlignment="1">
      <alignment horizontal="center" vertical="center"/>
    </xf>
    <xf numFmtId="168" fontId="5" fillId="14" borderId="1" xfId="0" applyNumberFormat="1" applyFont="1" applyFill="1" applyBorder="1" applyAlignment="1">
      <alignment horizontal="center" vertical="center" wrapText="1"/>
    </xf>
    <xf numFmtId="0" fontId="5" fillId="14" borderId="1" xfId="0" applyFont="1" applyFill="1" applyBorder="1" applyAlignment="1" applyProtection="1">
      <alignment horizontal="center" vertical="center" wrapText="1"/>
      <protection locked="0"/>
    </xf>
    <xf numFmtId="167" fontId="5" fillId="14" borderId="1" xfId="0" applyNumberFormat="1" applyFont="1" applyFill="1" applyBorder="1" applyAlignment="1">
      <alignment horizontal="left" vertical="top"/>
    </xf>
    <xf numFmtId="14" fontId="5" fillId="14" borderId="1" xfId="0" applyNumberFormat="1" applyFont="1" applyFill="1" applyBorder="1" applyAlignment="1" applyProtection="1">
      <alignment horizontal="left" vertical="center" wrapText="1"/>
      <protection locked="0"/>
    </xf>
    <xf numFmtId="0" fontId="5" fillId="14" borderId="1" xfId="0" applyFont="1" applyFill="1" applyBorder="1" applyAlignment="1">
      <alignment vertical="top" wrapText="1"/>
    </xf>
    <xf numFmtId="0" fontId="5" fillId="14" borderId="0" xfId="0" applyFont="1" applyFill="1" applyAlignment="1">
      <alignment vertical="top" wrapText="1"/>
    </xf>
    <xf numFmtId="0" fontId="5" fillId="14" borderId="1" xfId="0" applyFont="1" applyFill="1" applyBorder="1" applyAlignment="1">
      <alignment vertical="top"/>
    </xf>
    <xf numFmtId="0" fontId="5" fillId="14" borderId="0" xfId="0" applyFont="1" applyFill="1" applyAlignment="1" applyProtection="1">
      <alignment horizontal="left" vertical="center" wrapText="1"/>
      <protection locked="0"/>
    </xf>
    <xf numFmtId="14" fontId="5" fillId="14" borderId="1" xfId="0" applyNumberFormat="1" applyFont="1" applyFill="1" applyBorder="1" applyAlignment="1" applyProtection="1">
      <alignment horizontal="center" vertical="center" wrapText="1"/>
      <protection locked="0"/>
    </xf>
    <xf numFmtId="0" fontId="5" fillId="14" borderId="1" xfId="0" applyFont="1" applyFill="1" applyBorder="1" applyAlignment="1">
      <alignment horizontal="left" vertical="top"/>
    </xf>
    <xf numFmtId="0" fontId="5" fillId="14" borderId="1" xfId="0" applyFont="1" applyFill="1" applyBorder="1" applyAlignment="1">
      <alignment horizontal="left" vertical="top" wrapText="1"/>
    </xf>
    <xf numFmtId="14" fontId="5" fillId="14" borderId="1" xfId="0" applyNumberFormat="1" applyFont="1" applyFill="1" applyBorder="1" applyAlignment="1">
      <alignment horizontal="left" vertical="top"/>
    </xf>
    <xf numFmtId="0" fontId="5" fillId="14" borderId="1" xfId="0" applyFont="1" applyFill="1" applyBorder="1" applyAlignment="1" applyProtection="1">
      <alignment horizontal="left" vertical="top" wrapText="1"/>
      <protection locked="0"/>
    </xf>
    <xf numFmtId="14" fontId="5" fillId="14" borderId="1" xfId="0" applyNumberFormat="1" applyFont="1" applyFill="1" applyBorder="1" applyAlignment="1">
      <alignment horizontal="center" vertical="top" wrapText="1"/>
    </xf>
    <xf numFmtId="0" fontId="5" fillId="14" borderId="1" xfId="0" applyFont="1" applyFill="1" applyBorder="1" applyAlignment="1">
      <alignment horizontal="center" vertical="top"/>
    </xf>
    <xf numFmtId="168" fontId="5" fillId="14" borderId="1" xfId="0" applyNumberFormat="1" applyFont="1" applyFill="1" applyBorder="1" applyAlignment="1">
      <alignment horizontal="center" vertical="top" wrapText="1"/>
    </xf>
    <xf numFmtId="0" fontId="5" fillId="14" borderId="1" xfId="0" applyFont="1" applyFill="1" applyBorder="1" applyAlignment="1" applyProtection="1">
      <alignment horizontal="center" vertical="top" wrapText="1"/>
      <protection locked="0"/>
    </xf>
    <xf numFmtId="14" fontId="5" fillId="14" borderId="1" xfId="0" applyNumberFormat="1" applyFont="1" applyFill="1" applyBorder="1" applyAlignment="1" applyProtection="1">
      <alignment horizontal="left" vertical="top" wrapText="1"/>
      <protection locked="0"/>
    </xf>
    <xf numFmtId="0" fontId="15" fillId="14" borderId="1" xfId="0" applyFont="1" applyFill="1" applyBorder="1" applyAlignment="1" applyProtection="1">
      <alignment horizontal="left" vertical="center" wrapText="1"/>
      <protection locked="0"/>
    </xf>
    <xf numFmtId="0" fontId="0" fillId="14" borderId="0" xfId="0" applyFill="1"/>
    <xf numFmtId="0" fontId="5" fillId="14" borderId="1" xfId="0" applyFont="1" applyFill="1" applyBorder="1" applyAlignment="1">
      <alignment horizontal="left" vertical="center"/>
    </xf>
    <xf numFmtId="14" fontId="5" fillId="14" borderId="1" xfId="0" applyNumberFormat="1" applyFont="1" applyFill="1" applyBorder="1" applyAlignment="1">
      <alignment horizontal="center" vertical="center"/>
    </xf>
    <xf numFmtId="168" fontId="5" fillId="14" borderId="1" xfId="0" applyNumberFormat="1" applyFont="1" applyFill="1" applyBorder="1" applyAlignment="1">
      <alignment horizontal="center" vertical="center"/>
    </xf>
    <xf numFmtId="0" fontId="5" fillId="14" borderId="0" xfId="0" applyFont="1" applyFill="1" applyAlignment="1">
      <alignment vertical="top"/>
    </xf>
    <xf numFmtId="0" fontId="5" fillId="0" borderId="1" xfId="0" applyFont="1" applyBorder="1" applyAlignment="1">
      <alignment vertical="top" wrapText="1"/>
    </xf>
    <xf numFmtId="0" fontId="5" fillId="0" borderId="0" xfId="0" applyFont="1" applyAlignment="1">
      <alignment vertical="top" wrapText="1"/>
    </xf>
    <xf numFmtId="0" fontId="5" fillId="16" borderId="1" xfId="0" applyFont="1" applyFill="1" applyBorder="1" applyAlignment="1" applyProtection="1">
      <alignment horizontal="left" vertical="center" wrapText="1"/>
      <protection locked="0"/>
    </xf>
    <xf numFmtId="167" fontId="5" fillId="0" borderId="1" xfId="0" applyNumberFormat="1" applyFont="1" applyBorder="1" applyAlignment="1">
      <alignment horizontal="left" vertical="top" wrapText="1"/>
    </xf>
    <xf numFmtId="14" fontId="5" fillId="0" borderId="0" xfId="0" applyNumberFormat="1" applyFont="1" applyAlignment="1" applyProtection="1">
      <alignment horizontal="left" vertical="center" wrapText="1"/>
      <protection locked="0"/>
    </xf>
    <xf numFmtId="14"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168" fontId="5" fillId="0" borderId="1" xfId="0" applyNumberFormat="1" applyFont="1" applyBorder="1" applyAlignment="1">
      <alignment horizontal="center" vertical="top" wrapText="1"/>
    </xf>
    <xf numFmtId="14" fontId="5" fillId="0" borderId="1" xfId="0" applyNumberFormat="1" applyFont="1" applyBorder="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167" fontId="5" fillId="0" borderId="0" xfId="0" applyNumberFormat="1" applyFont="1" applyAlignment="1">
      <alignment horizontal="left" vertical="top" wrapText="1"/>
    </xf>
    <xf numFmtId="0" fontId="5" fillId="0" borderId="1" xfId="0" applyFont="1" applyBorder="1" applyAlignment="1">
      <alignment horizontal="center"/>
    </xf>
    <xf numFmtId="6" fontId="5" fillId="0" borderId="1" xfId="0" applyNumberFormat="1" applyFont="1" applyBorder="1" applyAlignment="1">
      <alignment horizontal="center" vertical="center"/>
    </xf>
    <xf numFmtId="0" fontId="5" fillId="0" borderId="0" xfId="0" applyFont="1" applyAlignment="1">
      <alignment horizontal="left" wrapText="1"/>
    </xf>
    <xf numFmtId="0" fontId="5" fillId="0" borderId="0" xfId="0" applyFont="1" applyAlignment="1">
      <alignment horizontal="center"/>
    </xf>
    <xf numFmtId="0" fontId="5" fillId="17" borderId="1" xfId="0" applyFont="1" applyFill="1" applyBorder="1" applyAlignment="1">
      <alignment vertical="top"/>
    </xf>
    <xf numFmtId="0" fontId="5" fillId="17" borderId="1" xfId="0" applyFont="1" applyFill="1" applyBorder="1" applyAlignment="1" applyProtection="1">
      <alignment horizontal="left" vertical="center" wrapText="1"/>
      <protection locked="0"/>
    </xf>
    <xf numFmtId="168" fontId="5" fillId="17" borderId="1" xfId="0" applyNumberFormat="1" applyFont="1" applyFill="1" applyBorder="1" applyAlignment="1">
      <alignment horizontal="center" vertical="center" wrapText="1"/>
    </xf>
    <xf numFmtId="0" fontId="5" fillId="17" borderId="1" xfId="0" applyFont="1" applyFill="1" applyBorder="1" applyAlignment="1">
      <alignment horizontal="left" vertical="top"/>
    </xf>
    <xf numFmtId="0" fontId="5" fillId="17" borderId="0" xfId="0" applyFont="1" applyFill="1" applyAlignment="1">
      <alignment horizontal="left" vertical="top"/>
    </xf>
    <xf numFmtId="0" fontId="0" fillId="17" borderId="0" xfId="0" applyFill="1"/>
    <xf numFmtId="0" fontId="5" fillId="14" borderId="1" xfId="0" applyFont="1" applyFill="1" applyBorder="1" applyAlignment="1">
      <alignment horizontal="center" vertical="center" wrapText="1"/>
    </xf>
    <xf numFmtId="0" fontId="5" fillId="14" borderId="1" xfId="6" applyNumberFormat="1" applyFont="1" applyFill="1" applyBorder="1" applyAlignment="1">
      <alignment horizontal="center" vertical="center" wrapText="1"/>
    </xf>
    <xf numFmtId="14" fontId="5" fillId="2" borderId="1" xfId="0" applyNumberFormat="1" applyFont="1" applyFill="1" applyBorder="1" applyAlignment="1" applyProtection="1">
      <alignment horizontal="left" vertical="top" wrapText="1"/>
      <protection locked="0"/>
    </xf>
    <xf numFmtId="14" fontId="5" fillId="2" borderId="1" xfId="0" applyNumberFormat="1" applyFont="1" applyFill="1" applyBorder="1" applyAlignment="1">
      <alignment horizontal="center" vertical="top" wrapText="1"/>
    </xf>
    <xf numFmtId="14" fontId="5" fillId="15" borderId="1" xfId="0" applyNumberFormat="1" applyFont="1" applyFill="1" applyBorder="1" applyAlignment="1">
      <alignment horizontal="center" vertical="center"/>
    </xf>
    <xf numFmtId="0" fontId="5" fillId="0" borderId="1" xfId="0" applyFont="1" applyBorder="1" applyAlignment="1">
      <alignment horizontal="center" vertical="top"/>
    </xf>
    <xf numFmtId="0" fontId="5" fillId="18" borderId="1" xfId="0" applyFont="1" applyFill="1" applyBorder="1" applyAlignment="1" applyProtection="1">
      <alignment horizontal="left" vertical="top" wrapText="1"/>
      <protection locked="0"/>
    </xf>
    <xf numFmtId="168" fontId="5" fillId="2" borderId="1" xfId="0" applyNumberFormat="1" applyFont="1" applyFill="1" applyBorder="1" applyAlignment="1">
      <alignment horizontal="center" vertical="center"/>
    </xf>
    <xf numFmtId="0" fontId="5" fillId="0" borderId="1" xfId="0" applyFont="1" applyBorder="1" applyAlignment="1">
      <alignment horizontal="center" vertical="top" wrapText="1"/>
    </xf>
    <xf numFmtId="0" fontId="5" fillId="15" borderId="1" xfId="0" applyFont="1" applyFill="1" applyBorder="1" applyAlignment="1" applyProtection="1">
      <alignment horizontal="center" vertical="top" wrapText="1"/>
      <protection locked="0"/>
    </xf>
    <xf numFmtId="0" fontId="44" fillId="0" borderId="1" xfId="0" applyFont="1" applyBorder="1" applyAlignment="1">
      <alignment vertical="center"/>
    </xf>
    <xf numFmtId="14" fontId="5" fillId="19" borderId="1" xfId="0" applyNumberFormat="1" applyFont="1" applyFill="1" applyBorder="1" applyAlignment="1" applyProtection="1">
      <alignment horizontal="center" vertical="center" wrapText="1"/>
      <protection locked="0"/>
    </xf>
    <xf numFmtId="0" fontId="5" fillId="4" borderId="0" xfId="0" applyFont="1" applyFill="1" applyAlignment="1">
      <alignment vertical="top"/>
    </xf>
    <xf numFmtId="0" fontId="5" fillId="0" borderId="3" xfId="0" applyFont="1" applyBorder="1" applyAlignment="1">
      <alignment vertical="top"/>
    </xf>
    <xf numFmtId="0" fontId="5" fillId="0" borderId="3" xfId="0" applyFont="1" applyBorder="1" applyAlignment="1">
      <alignment vertical="center"/>
    </xf>
    <xf numFmtId="0" fontId="9" fillId="0" borderId="3" xfId="0" applyFont="1" applyBorder="1" applyAlignment="1">
      <alignment vertical="center"/>
    </xf>
    <xf numFmtId="0" fontId="5" fillId="0" borderId="14" xfId="0" applyFont="1" applyBorder="1" applyAlignment="1" applyProtection="1">
      <alignment vertical="center"/>
      <protection locked="0"/>
    </xf>
    <xf numFmtId="0" fontId="5" fillId="14" borderId="2" xfId="0" applyFont="1" applyFill="1" applyBorder="1" applyAlignment="1">
      <alignment vertical="center"/>
    </xf>
    <xf numFmtId="0" fontId="5" fillId="0" borderId="2" xfId="0" applyFont="1" applyBorder="1" applyAlignment="1">
      <alignment vertical="top"/>
    </xf>
    <xf numFmtId="0" fontId="5" fillId="14" borderId="2" xfId="0" applyFont="1" applyFill="1" applyBorder="1" applyAlignment="1">
      <alignment vertical="top"/>
    </xf>
    <xf numFmtId="0" fontId="43" fillId="0" borderId="2" xfId="0" applyFont="1" applyBorder="1" applyAlignment="1">
      <alignment vertical="top"/>
    </xf>
    <xf numFmtId="0" fontId="5" fillId="14" borderId="3" xfId="0" applyFont="1" applyFill="1" applyBorder="1" applyAlignment="1" applyProtection="1">
      <alignment horizontal="left" vertical="top" wrapText="1"/>
      <protection locked="0"/>
    </xf>
    <xf numFmtId="0" fontId="5" fillId="0" borderId="4" xfId="0" applyFont="1" applyBorder="1" applyAlignment="1" applyProtection="1">
      <alignment vertical="center"/>
      <protection locked="0"/>
    </xf>
    <xf numFmtId="0" fontId="9" fillId="0" borderId="2" xfId="0" applyFont="1" applyBorder="1" applyAlignment="1">
      <alignment horizontal="center" vertical="center"/>
    </xf>
    <xf numFmtId="0" fontId="5" fillId="14" borderId="2" xfId="1" applyFont="1" applyFill="1" applyBorder="1" applyAlignment="1">
      <alignment horizontal="center" vertical="center" wrapText="1"/>
    </xf>
    <xf numFmtId="0" fontId="5" fillId="14" borderId="2" xfId="0" applyFont="1" applyFill="1" applyBorder="1" applyAlignment="1">
      <alignment horizontal="center" vertical="center"/>
    </xf>
    <xf numFmtId="49" fontId="5" fillId="0" borderId="2" xfId="0" applyNumberFormat="1" applyFont="1" applyBorder="1" applyAlignment="1" applyProtection="1">
      <alignment horizontal="center" vertical="top" wrapText="1"/>
      <protection locked="0"/>
    </xf>
    <xf numFmtId="0" fontId="5" fillId="14" borderId="2" xfId="0" applyFont="1" applyFill="1" applyBorder="1" applyAlignment="1" applyProtection="1">
      <alignment horizontal="center" vertical="center" wrapText="1"/>
      <protection locked="0"/>
    </xf>
    <xf numFmtId="168" fontId="5" fillId="0" borderId="3" xfId="0" applyNumberFormat="1" applyFont="1" applyBorder="1" applyAlignment="1">
      <alignment horizontal="center" vertical="top" wrapText="1"/>
    </xf>
    <xf numFmtId="0" fontId="5" fillId="15" borderId="2" xfId="1" applyFont="1" applyFill="1" applyBorder="1" applyAlignment="1">
      <alignment horizontal="center" vertical="center" wrapText="1"/>
    </xf>
    <xf numFmtId="0" fontId="5" fillId="9" borderId="2" xfId="0" applyFont="1" applyFill="1" applyBorder="1" applyAlignment="1" applyProtection="1">
      <alignment horizontal="center" vertical="center" wrapText="1"/>
      <protection locked="0"/>
    </xf>
    <xf numFmtId="0" fontId="5" fillId="14" borderId="2" xfId="0" applyFont="1" applyFill="1" applyBorder="1" applyAlignment="1" applyProtection="1">
      <alignment horizontal="center" vertical="top" wrapText="1"/>
      <protection locked="0"/>
    </xf>
    <xf numFmtId="165" fontId="5" fillId="0" borderId="1" xfId="0" applyNumberFormat="1" applyFont="1" applyBorder="1" applyAlignment="1" applyProtection="1">
      <alignment horizontal="center" wrapText="1"/>
      <protection locked="0"/>
    </xf>
    <xf numFmtId="0" fontId="5" fillId="0" borderId="2" xfId="0" applyFont="1" applyBorder="1" applyAlignment="1" applyProtection="1">
      <alignment horizontal="center" vertical="top" wrapText="1"/>
      <protection locked="0"/>
    </xf>
    <xf numFmtId="0" fontId="5" fillId="14" borderId="2" xfId="0" applyFont="1" applyFill="1" applyBorder="1" applyAlignment="1" applyProtection="1">
      <alignment horizontal="left" vertical="center" wrapText="1"/>
      <protection locked="0"/>
    </xf>
    <xf numFmtId="167" fontId="5" fillId="0" borderId="0" xfId="0" applyNumberFormat="1" applyFont="1" applyAlignment="1" applyProtection="1">
      <alignment horizontal="center" vertical="center"/>
      <protection locked="0"/>
    </xf>
    <xf numFmtId="14" fontId="5" fillId="0" borderId="2" xfId="0" applyNumberFormat="1" applyFont="1" applyBorder="1" applyAlignment="1" applyProtection="1">
      <alignment horizontal="left" vertical="center" wrapText="1"/>
      <protection locked="0"/>
    </xf>
    <xf numFmtId="14" fontId="5" fillId="14" borderId="2" xfId="0" applyNumberFormat="1" applyFont="1" applyFill="1" applyBorder="1" applyAlignment="1" applyProtection="1">
      <alignment horizontal="left" vertical="center" wrapText="1"/>
      <protection locked="0"/>
    </xf>
    <xf numFmtId="167" fontId="5" fillId="0" borderId="2" xfId="0" applyNumberFormat="1" applyFont="1" applyBorder="1" applyAlignment="1">
      <alignment horizontal="left" vertical="top" wrapText="1"/>
    </xf>
    <xf numFmtId="0" fontId="5" fillId="0" borderId="2" xfId="0" applyFont="1" applyBorder="1" applyAlignment="1" applyProtection="1">
      <alignment horizontal="left" vertical="top" wrapText="1"/>
      <protection locked="0"/>
    </xf>
    <xf numFmtId="165" fontId="5" fillId="0" borderId="0" xfId="0" applyNumberFormat="1" applyFont="1" applyAlignment="1" applyProtection="1">
      <alignment horizontal="left" vertical="center" wrapText="1"/>
      <protection locked="0"/>
    </xf>
    <xf numFmtId="14" fontId="5" fillId="2" borderId="0" xfId="0" applyNumberFormat="1" applyFont="1" applyFill="1" applyAlignment="1" applyProtection="1">
      <alignment horizontal="left" vertical="center" wrapText="1"/>
      <protection locked="0"/>
    </xf>
    <xf numFmtId="0" fontId="5" fillId="0" borderId="0" xfId="0" applyFont="1" applyAlignment="1">
      <alignment horizontal="center" vertical="center" wrapText="1"/>
    </xf>
    <xf numFmtId="0" fontId="9" fillId="0" borderId="0" xfId="0" applyFont="1" applyAlignment="1">
      <alignment horizontal="center" vertical="center"/>
    </xf>
    <xf numFmtId="0" fontId="5" fillId="0" borderId="0" xfId="0" applyFont="1" applyAlignment="1" applyProtection="1">
      <alignment horizontal="left" vertical="top" wrapText="1"/>
      <protection locked="0"/>
    </xf>
    <xf numFmtId="14" fontId="5" fillId="14" borderId="0" xfId="0" applyNumberFormat="1" applyFont="1" applyFill="1" applyAlignment="1" applyProtection="1">
      <alignment horizontal="left" vertical="center" wrapText="1"/>
      <protection locked="0"/>
    </xf>
    <xf numFmtId="0" fontId="8" fillId="0" borderId="0" xfId="0" applyFont="1" applyAlignment="1">
      <alignment vertical="top" wrapText="1"/>
    </xf>
    <xf numFmtId="14" fontId="5" fillId="0" borderId="0" xfId="0" applyNumberFormat="1" applyFont="1" applyAlignment="1">
      <alignment vertical="top"/>
    </xf>
    <xf numFmtId="0" fontId="5" fillId="14" borderId="2" xfId="0" applyFont="1" applyFill="1" applyBorder="1" applyAlignment="1">
      <alignment vertical="top" wrapText="1"/>
    </xf>
    <xf numFmtId="0" fontId="5" fillId="0" borderId="2" xfId="0" applyFont="1" applyBorder="1" applyAlignment="1">
      <alignment horizontal="left" vertical="top" wrapText="1"/>
    </xf>
    <xf numFmtId="0" fontId="5" fillId="0" borderId="2" xfId="0" applyFont="1" applyBorder="1" applyAlignment="1">
      <alignment vertical="top" wrapText="1"/>
    </xf>
    <xf numFmtId="0" fontId="5" fillId="0" borderId="2" xfId="0" applyFont="1" applyBorder="1" applyAlignment="1">
      <alignment horizontal="left" wrapText="1"/>
    </xf>
    <xf numFmtId="14" fontId="5" fillId="0" borderId="2" xfId="0" applyNumberFormat="1" applyFont="1" applyBorder="1" applyAlignment="1" applyProtection="1">
      <alignment horizontal="left" vertical="top" wrapText="1"/>
      <protection locked="0"/>
    </xf>
    <xf numFmtId="167" fontId="5" fillId="0" borderId="0" xfId="6" applyNumberFormat="1" applyFont="1" applyFill="1" applyBorder="1" applyAlignment="1" applyProtection="1">
      <alignment horizontal="center" vertical="center" wrapText="1"/>
      <protection locked="0"/>
    </xf>
    <xf numFmtId="0" fontId="5" fillId="0" borderId="8" xfId="0" applyFont="1" applyBorder="1" applyAlignment="1" applyProtection="1">
      <alignment horizontal="left" vertical="center" wrapText="1"/>
      <protection locked="0"/>
    </xf>
    <xf numFmtId="0" fontId="26" fillId="0" borderId="1" xfId="0" applyFont="1" applyBorder="1" applyAlignment="1">
      <alignment horizontal="left" vertical="center"/>
    </xf>
    <xf numFmtId="0" fontId="5" fillId="14" borderId="3" xfId="0" applyFont="1" applyFill="1" applyBorder="1" applyAlignment="1" applyProtection="1">
      <alignment horizontal="center" vertical="top" wrapText="1"/>
      <protection locked="0"/>
    </xf>
    <xf numFmtId="167" fontId="5" fillId="0" borderId="7" xfId="0" applyNumberFormat="1" applyFont="1" applyBorder="1" applyAlignment="1" applyProtection="1">
      <alignment horizontal="center" vertical="center"/>
      <protection locked="0"/>
    </xf>
    <xf numFmtId="0" fontId="7" fillId="0" borderId="1" xfId="2"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pplyProtection="1">
      <alignment horizontal="left" vertical="center" wrapText="1"/>
      <protection locked="0"/>
    </xf>
    <xf numFmtId="165"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pplyProtection="1">
      <alignment horizontal="center" vertical="center" wrapText="1"/>
      <protection locked="0"/>
    </xf>
    <xf numFmtId="1" fontId="7" fillId="0" borderId="1" xfId="0" applyNumberFormat="1" applyFont="1" applyBorder="1" applyAlignment="1" applyProtection="1">
      <alignment horizontal="center" vertical="center" wrapText="1"/>
      <protection locked="0"/>
    </xf>
    <xf numFmtId="164" fontId="7" fillId="0" borderId="6" xfId="6" applyNumberFormat="1" applyFont="1" applyFill="1" applyBorder="1" applyAlignment="1" applyProtection="1">
      <alignment horizontal="center" vertical="center" wrapText="1"/>
      <protection locked="0"/>
    </xf>
    <xf numFmtId="14" fontId="7" fillId="0" borderId="6"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67" fontId="7" fillId="0" borderId="1" xfId="0" applyNumberFormat="1" applyFont="1" applyBorder="1" applyAlignment="1" applyProtection="1">
      <alignment horizontal="center" vertical="center" wrapText="1"/>
      <protection locked="0"/>
    </xf>
    <xf numFmtId="0" fontId="34" fillId="0" borderId="1" xfId="0" applyFont="1" applyBorder="1" applyAlignment="1">
      <alignment horizontal="center" vertical="center"/>
    </xf>
    <xf numFmtId="0" fontId="34" fillId="0" borderId="0" xfId="0" applyFont="1" applyAlignment="1">
      <alignment vertical="center"/>
    </xf>
    <xf numFmtId="14" fontId="7" fillId="0" borderId="1" xfId="0" applyNumberFormat="1" applyFont="1" applyBorder="1" applyAlignment="1" applyProtection="1">
      <alignment horizontal="left" vertical="center" wrapText="1"/>
      <protection locked="0"/>
    </xf>
    <xf numFmtId="0" fontId="7" fillId="0" borderId="6" xfId="0" applyFont="1" applyBorder="1" applyAlignment="1" applyProtection="1">
      <alignment horizontal="center" vertical="center" wrapText="1"/>
      <protection locked="0"/>
    </xf>
    <xf numFmtId="1" fontId="7" fillId="0" borderId="6" xfId="0" applyNumberFormat="1"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7" fillId="0" borderId="1" xfId="6" applyNumberFormat="1" applyFont="1" applyFill="1" applyBorder="1" applyAlignment="1" applyProtection="1">
      <alignment horizontal="center" vertical="center" wrapText="1"/>
      <protection locked="0"/>
    </xf>
    <xf numFmtId="164" fontId="7" fillId="0" borderId="1" xfId="6" applyNumberFormat="1" applyFont="1" applyFill="1" applyBorder="1" applyAlignment="1" applyProtection="1">
      <alignment horizontal="center" vertical="center" wrapText="1"/>
      <protection locked="0"/>
    </xf>
    <xf numFmtId="0" fontId="7" fillId="0" borderId="1" xfId="0" applyFont="1" applyBorder="1" applyAlignment="1">
      <alignment horizontal="left" vertical="center" wrapText="1"/>
    </xf>
    <xf numFmtId="169" fontId="7" fillId="0" borderId="1" xfId="0" applyNumberFormat="1" applyFont="1" applyBorder="1" applyAlignment="1" applyProtection="1">
      <alignment horizontal="center" vertical="center" wrapText="1"/>
      <protection locked="0"/>
    </xf>
    <xf numFmtId="0" fontId="7" fillId="0" borderId="1" xfId="2" applyBorder="1" applyAlignment="1" applyProtection="1">
      <alignment horizontal="center" vertical="center" wrapText="1"/>
      <protection locked="0"/>
    </xf>
    <xf numFmtId="0" fontId="7" fillId="0" borderId="1" xfId="0" applyFont="1" applyBorder="1" applyAlignment="1" applyProtection="1">
      <alignment horizontal="left" vertical="top" wrapText="1"/>
      <protection locked="0"/>
    </xf>
    <xf numFmtId="0" fontId="7" fillId="0" borderId="1" xfId="2" applyBorder="1" applyAlignment="1">
      <alignment horizontal="left" vertical="center" wrapText="1"/>
    </xf>
    <xf numFmtId="14" fontId="7" fillId="0" borderId="1" xfId="2" applyNumberFormat="1" applyBorder="1" applyAlignment="1">
      <alignment horizontal="center" vertical="center" wrapText="1"/>
    </xf>
    <xf numFmtId="1" fontId="7" fillId="0" borderId="1" xfId="2" applyNumberFormat="1" applyBorder="1" applyAlignment="1">
      <alignment horizontal="center" vertical="center" wrapText="1"/>
    </xf>
    <xf numFmtId="1" fontId="7" fillId="0" borderId="1" xfId="0" applyNumberFormat="1" applyFont="1" applyBorder="1" applyAlignment="1">
      <alignment horizontal="center" vertical="center" wrapText="1"/>
    </xf>
    <xf numFmtId="0" fontId="7" fillId="2" borderId="1" xfId="2" applyFill="1" applyBorder="1" applyAlignment="1">
      <alignment horizontal="center" vertical="center" wrapText="1"/>
    </xf>
    <xf numFmtId="164" fontId="7" fillId="0" borderId="1" xfId="6" applyNumberFormat="1" applyFont="1" applyFill="1" applyBorder="1" applyAlignment="1">
      <alignment horizontal="center" vertical="center" wrapText="1"/>
    </xf>
    <xf numFmtId="0" fontId="7" fillId="0" borderId="7" xfId="2" applyBorder="1" applyAlignment="1">
      <alignment horizontal="center" vertical="center" wrapText="1"/>
    </xf>
    <xf numFmtId="0" fontId="7" fillId="0" borderId="7" xfId="0" applyFont="1" applyBorder="1" applyAlignment="1">
      <alignment horizontal="center" vertical="center" wrapText="1"/>
    </xf>
    <xf numFmtId="14" fontId="7" fillId="0" borderId="7" xfId="0" applyNumberFormat="1" applyFont="1" applyBorder="1" applyAlignment="1">
      <alignment horizontal="center" vertical="center" wrapText="1"/>
    </xf>
    <xf numFmtId="14" fontId="7" fillId="0" borderId="7" xfId="0" applyNumberFormat="1"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167" fontId="7" fillId="0" borderId="7" xfId="0" applyNumberFormat="1" applyFont="1" applyBorder="1" applyAlignment="1" applyProtection="1">
      <alignment horizontal="center" vertical="center" wrapText="1"/>
      <protection locked="0"/>
    </xf>
    <xf numFmtId="167" fontId="50" fillId="0" borderId="1" xfId="0" applyNumberFormat="1" applyFont="1" applyBorder="1" applyAlignment="1" applyProtection="1">
      <alignment horizontal="center" vertical="center" wrapText="1"/>
      <protection locked="0"/>
    </xf>
    <xf numFmtId="0" fontId="7" fillId="14" borderId="1" xfId="2" applyFill="1" applyBorder="1" applyAlignment="1">
      <alignment horizontal="center" vertical="center" wrapText="1"/>
    </xf>
    <xf numFmtId="0" fontId="7" fillId="14" borderId="1" xfId="0" applyFont="1" applyFill="1" applyBorder="1" applyAlignment="1">
      <alignment horizontal="center" vertical="center" wrapText="1"/>
    </xf>
    <xf numFmtId="14" fontId="7" fillId="14" borderId="1" xfId="0" applyNumberFormat="1" applyFont="1" applyFill="1" applyBorder="1" applyAlignment="1">
      <alignment horizontal="center" vertical="center" wrapText="1"/>
    </xf>
    <xf numFmtId="164" fontId="7" fillId="14" borderId="1" xfId="6" applyNumberFormat="1" applyFont="1" applyFill="1" applyBorder="1" applyAlignment="1" applyProtection="1">
      <alignment horizontal="center" vertical="center" wrapText="1"/>
      <protection locked="0"/>
    </xf>
    <xf numFmtId="14" fontId="7" fillId="14" borderId="1" xfId="0" applyNumberFormat="1" applyFont="1" applyFill="1" applyBorder="1" applyAlignment="1" applyProtection="1">
      <alignment horizontal="center" vertical="center" wrapText="1"/>
      <protection locked="0"/>
    </xf>
    <xf numFmtId="0" fontId="7" fillId="14" borderId="1" xfId="0" applyFont="1" applyFill="1" applyBorder="1" applyAlignment="1" applyProtection="1">
      <alignment horizontal="center" vertical="center" wrapText="1"/>
      <protection locked="0"/>
    </xf>
    <xf numFmtId="14" fontId="7" fillId="0" borderId="1" xfId="0" quotePrefix="1" applyNumberFormat="1" applyFont="1" applyBorder="1" applyAlignment="1">
      <alignment horizontal="center" vertical="center" wrapText="1"/>
    </xf>
    <xf numFmtId="167" fontId="7" fillId="0" borderId="1" xfId="6"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10" borderId="1" xfId="0" applyFont="1" applyFill="1" applyBorder="1" applyAlignment="1">
      <alignment horizontal="center" vertical="center" wrapText="1"/>
    </xf>
    <xf numFmtId="164" fontId="7" fillId="0" borderId="1" xfId="6" applyNumberFormat="1" applyFont="1" applyBorder="1" applyAlignment="1" applyProtection="1">
      <alignment horizontal="center" vertical="center" wrapText="1"/>
      <protection locked="0"/>
    </xf>
    <xf numFmtId="0" fontId="7" fillId="7" borderId="1" xfId="2" applyFill="1" applyBorder="1" applyAlignment="1">
      <alignment horizontal="center" vertical="center" wrapText="1"/>
    </xf>
    <xf numFmtId="0" fontId="7" fillId="7" borderId="1" xfId="0" applyFont="1" applyFill="1" applyBorder="1" applyAlignment="1">
      <alignment horizontal="center" vertical="center" wrapText="1"/>
    </xf>
    <xf numFmtId="165" fontId="7" fillId="7" borderId="1" xfId="0" applyNumberFormat="1"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14" fontId="7" fillId="7" borderId="1" xfId="2" applyNumberFormat="1" applyFill="1" applyBorder="1" applyAlignment="1">
      <alignment horizontal="center" vertical="center" wrapText="1"/>
    </xf>
    <xf numFmtId="1" fontId="7" fillId="7" borderId="1" xfId="2" applyNumberFormat="1" applyFill="1" applyBorder="1" applyAlignment="1">
      <alignment horizontal="center" vertical="center" wrapText="1"/>
    </xf>
    <xf numFmtId="164" fontId="7" fillId="7" borderId="1" xfId="6" applyNumberFormat="1" applyFont="1" applyFill="1" applyBorder="1" applyAlignment="1" applyProtection="1">
      <alignment horizontal="center" vertical="center" wrapText="1"/>
      <protection locked="0"/>
    </xf>
    <xf numFmtId="14" fontId="7" fillId="7" borderId="1" xfId="0" applyNumberFormat="1" applyFont="1" applyFill="1" applyBorder="1" applyAlignment="1" applyProtection="1">
      <alignment horizontal="center" vertical="center" wrapText="1"/>
      <protection locked="0"/>
    </xf>
    <xf numFmtId="0" fontId="55" fillId="0" borderId="1" xfId="2" applyFont="1" applyBorder="1" applyAlignment="1">
      <alignment horizontal="center" vertical="center" wrapText="1"/>
    </xf>
    <xf numFmtId="0" fontId="55" fillId="0" borderId="1" xfId="0" applyFont="1" applyBorder="1" applyAlignment="1">
      <alignment horizontal="center" vertical="center" wrapText="1"/>
    </xf>
    <xf numFmtId="0" fontId="55" fillId="0" borderId="1" xfId="0" applyFont="1" applyBorder="1" applyAlignment="1" applyProtection="1">
      <alignment horizontal="left" vertical="center" wrapText="1"/>
      <protection locked="0"/>
    </xf>
    <xf numFmtId="15" fontId="55" fillId="0" borderId="1" xfId="0" applyNumberFormat="1" applyFont="1" applyBorder="1" applyAlignment="1" applyProtection="1">
      <alignment horizontal="center" vertical="center" wrapText="1"/>
      <protection locked="0"/>
    </xf>
    <xf numFmtId="1" fontId="55" fillId="0" borderId="1" xfId="0" applyNumberFormat="1" applyFont="1" applyBorder="1" applyAlignment="1" applyProtection="1">
      <alignment horizontal="center" vertical="center" wrapText="1"/>
      <protection locked="0"/>
    </xf>
    <xf numFmtId="164" fontId="55" fillId="0" borderId="1" xfId="6" applyNumberFormat="1" applyFont="1" applyFill="1" applyBorder="1" applyAlignment="1" applyProtection="1">
      <alignment horizontal="left" vertical="center" wrapText="1"/>
      <protection locked="0"/>
    </xf>
    <xf numFmtId="14" fontId="55" fillId="0" borderId="1" xfId="0" applyNumberFormat="1" applyFont="1" applyBorder="1" applyAlignment="1" applyProtection="1">
      <alignment horizontal="left" vertical="center" wrapText="1"/>
      <protection locked="0"/>
    </xf>
    <xf numFmtId="14" fontId="55" fillId="0" borderId="1" xfId="0" applyNumberFormat="1" applyFont="1" applyBorder="1" applyAlignment="1" applyProtection="1">
      <alignment horizontal="center" vertical="center" wrapText="1"/>
      <protection locked="0"/>
    </xf>
    <xf numFmtId="0" fontId="55" fillId="0" borderId="1" xfId="0" applyFont="1" applyBorder="1" applyAlignment="1" applyProtection="1">
      <alignment horizontal="center" vertical="center" wrapText="1"/>
      <protection locked="0"/>
    </xf>
    <xf numFmtId="167" fontId="55" fillId="0" borderId="1" xfId="6" applyNumberFormat="1" applyFont="1" applyFill="1" applyBorder="1" applyAlignment="1" applyProtection="1">
      <alignment horizontal="center" vertical="center" wrapText="1"/>
      <protection locked="0"/>
    </xf>
    <xf numFmtId="167" fontId="55" fillId="0" borderId="1" xfId="6" applyNumberFormat="1" applyFont="1" applyFill="1" applyBorder="1" applyAlignment="1">
      <alignment horizontal="center" vertical="center"/>
    </xf>
    <xf numFmtId="164" fontId="55" fillId="0" borderId="1" xfId="6" applyNumberFormat="1" applyFont="1" applyFill="1" applyBorder="1" applyAlignment="1">
      <alignment horizontal="left" vertical="center" wrapText="1"/>
    </xf>
    <xf numFmtId="167" fontId="55" fillId="0" borderId="1" xfId="6" applyNumberFormat="1" applyFont="1" applyFill="1" applyBorder="1" applyAlignment="1">
      <alignment horizontal="center" vertical="center" wrapText="1"/>
    </xf>
    <xf numFmtId="1" fontId="55" fillId="0" borderId="1" xfId="0" applyNumberFormat="1" applyFont="1" applyBorder="1" applyAlignment="1">
      <alignment horizontal="center" vertical="center" wrapText="1"/>
    </xf>
    <xf numFmtId="2" fontId="55" fillId="0" borderId="1" xfId="0" applyNumberFormat="1" applyFont="1" applyBorder="1" applyAlignment="1" applyProtection="1">
      <alignment horizontal="center" vertical="center" wrapText="1"/>
      <protection locked="0"/>
    </xf>
    <xf numFmtId="15" fontId="55" fillId="0" borderId="1" xfId="0" quotePrefix="1" applyNumberFormat="1" applyFont="1" applyBorder="1" applyAlignment="1" applyProtection="1">
      <alignment horizontal="center" vertical="center" wrapText="1"/>
      <protection locked="0"/>
    </xf>
    <xf numFmtId="0" fontId="58" fillId="0" borderId="1" xfId="0" applyFont="1" applyBorder="1" applyAlignment="1">
      <alignment horizontal="center" vertical="center"/>
    </xf>
    <xf numFmtId="0" fontId="55" fillId="0" borderId="1" xfId="0" applyFont="1" applyBorder="1" applyAlignment="1">
      <alignment vertical="center" wrapText="1"/>
    </xf>
    <xf numFmtId="0" fontId="58" fillId="0" borderId="1" xfId="0" applyFont="1" applyBorder="1" applyAlignment="1">
      <alignment vertical="center"/>
    </xf>
    <xf numFmtId="43" fontId="58" fillId="0" borderId="1" xfId="6" applyNumberFormat="1" applyFont="1" applyFill="1" applyBorder="1" applyAlignment="1">
      <alignment horizontal="right" vertical="center"/>
    </xf>
    <xf numFmtId="15" fontId="7" fillId="0" borderId="1" xfId="0" applyNumberFormat="1" applyFont="1" applyBorder="1" applyAlignment="1" applyProtection="1">
      <alignment horizontal="center" vertical="center" wrapText="1"/>
      <protection locked="0"/>
    </xf>
    <xf numFmtId="164" fontId="7" fillId="0" borderId="1" xfId="6" applyNumberFormat="1" applyFont="1" applyFill="1" applyBorder="1" applyAlignment="1" applyProtection="1">
      <alignment horizontal="left" vertical="center" wrapText="1"/>
      <protection locked="0"/>
    </xf>
    <xf numFmtId="164" fontId="7" fillId="0" borderId="1" xfId="6" applyNumberFormat="1" applyFont="1" applyFill="1" applyBorder="1" applyAlignment="1" applyProtection="1">
      <alignment horizontal="right" vertical="center" wrapText="1"/>
      <protection locked="0"/>
    </xf>
    <xf numFmtId="0" fontId="53" fillId="0" borderId="1" xfId="0" applyFont="1" applyBorder="1" applyAlignment="1">
      <alignment horizontal="left" vertical="center" wrapText="1"/>
    </xf>
    <xf numFmtId="0" fontId="34" fillId="0" borderId="1" xfId="0" applyFont="1" applyBorder="1" applyAlignment="1">
      <alignment vertical="center"/>
    </xf>
    <xf numFmtId="15" fontId="7" fillId="0" borderId="1" xfId="0" quotePrefix="1" applyNumberFormat="1" applyFont="1" applyBorder="1" applyAlignment="1" applyProtection="1">
      <alignment horizontal="center" vertical="center" wrapText="1"/>
      <protection locked="0"/>
    </xf>
    <xf numFmtId="0" fontId="34" fillId="0" borderId="1" xfId="0" applyFont="1" applyBorder="1" applyAlignment="1">
      <alignment horizontal="left" vertical="center" wrapText="1"/>
    </xf>
    <xf numFmtId="43" fontId="34" fillId="0" borderId="1" xfId="6" applyNumberFormat="1" applyFont="1" applyFill="1" applyBorder="1" applyAlignment="1">
      <alignment horizontal="right" vertical="center"/>
    </xf>
    <xf numFmtId="164" fontId="7" fillId="0" borderId="1" xfId="0" applyNumberFormat="1" applyFont="1" applyBorder="1" applyAlignment="1" applyProtection="1">
      <alignment horizontal="right" vertical="center" wrapText="1"/>
      <protection locked="0"/>
    </xf>
    <xf numFmtId="0" fontId="7" fillId="0" borderId="1" xfId="0" applyFont="1" applyBorder="1" applyAlignment="1">
      <alignment vertical="center" wrapText="1"/>
    </xf>
    <xf numFmtId="164" fontId="7" fillId="0" borderId="1" xfId="6" applyNumberFormat="1" applyFont="1" applyFill="1" applyBorder="1" applyAlignment="1">
      <alignment horizontal="right" vertical="center" wrapText="1"/>
    </xf>
    <xf numFmtId="0" fontId="34" fillId="0" borderId="1" xfId="0" applyFont="1" applyBorder="1" applyAlignment="1">
      <alignment vertical="center" wrapText="1"/>
    </xf>
    <xf numFmtId="14" fontId="7" fillId="0" borderId="1" xfId="0" applyNumberFormat="1" applyFont="1" applyBorder="1" applyAlignment="1">
      <alignment horizontal="left" vertical="center" wrapText="1"/>
    </xf>
    <xf numFmtId="0" fontId="7" fillId="0" borderId="3" xfId="2" applyBorder="1" applyAlignment="1">
      <alignment horizontal="center" vertical="center" wrapText="1"/>
    </xf>
    <xf numFmtId="0" fontId="7" fillId="0" borderId="3" xfId="0" applyFont="1" applyBorder="1" applyAlignment="1">
      <alignment horizontal="center" vertical="center" wrapText="1"/>
    </xf>
    <xf numFmtId="14" fontId="7" fillId="0" borderId="1" xfId="0" quotePrefix="1" applyNumberFormat="1" applyFont="1" applyBorder="1" applyAlignment="1" applyProtection="1">
      <alignment horizontal="center" vertical="center" wrapText="1"/>
      <protection locked="0"/>
    </xf>
    <xf numFmtId="1" fontId="7" fillId="0" borderId="0" xfId="0" applyNumberFormat="1" applyFont="1" applyAlignment="1" applyProtection="1">
      <alignment horizontal="center" vertical="center" wrapText="1"/>
      <protection locked="0"/>
    </xf>
    <xf numFmtId="171" fontId="34" fillId="0" borderId="1" xfId="6" applyNumberFormat="1" applyFont="1" applyFill="1" applyBorder="1" applyAlignment="1">
      <alignment horizontal="right" vertical="center"/>
    </xf>
    <xf numFmtId="165" fontId="7" fillId="0" borderId="1" xfId="2" applyNumberFormat="1" applyBorder="1" applyAlignment="1">
      <alignment horizontal="center" vertical="center" wrapText="1"/>
    </xf>
    <xf numFmtId="0" fontId="49" fillId="0" borderId="1" xfId="2" applyFont="1" applyBorder="1" applyAlignment="1">
      <alignment horizontal="center" vertical="center" wrapText="1"/>
    </xf>
    <xf numFmtId="169" fontId="7" fillId="0" borderId="1" xfId="2" applyNumberFormat="1" applyBorder="1" applyAlignment="1">
      <alignment horizontal="center" vertical="center" wrapText="1"/>
    </xf>
    <xf numFmtId="0" fontId="7" fillId="0" borderId="0" xfId="0" applyFont="1" applyAlignment="1">
      <alignment horizontal="center" vertical="center" wrapText="1"/>
    </xf>
    <xf numFmtId="0" fontId="7" fillId="0" borderId="6" xfId="2" applyBorder="1" applyAlignment="1">
      <alignment horizontal="center" vertical="center" wrapText="1"/>
    </xf>
    <xf numFmtId="169" fontId="7" fillId="0" borderId="0" xfId="0" applyNumberFormat="1" applyFont="1" applyAlignment="1" applyProtection="1">
      <alignment horizontal="center" vertical="center" wrapText="1"/>
      <protection locked="0"/>
    </xf>
    <xf numFmtId="169" fontId="7" fillId="0" borderId="1" xfId="0" applyNumberFormat="1" applyFont="1" applyBorder="1" applyAlignment="1">
      <alignment horizontal="center" vertical="center" wrapText="1"/>
    </xf>
    <xf numFmtId="169" fontId="7" fillId="0" borderId="6" xfId="0" applyNumberFormat="1" applyFont="1" applyBorder="1" applyAlignment="1" applyProtection="1">
      <alignment horizontal="center" vertical="center" wrapText="1"/>
      <protection locked="0"/>
    </xf>
    <xf numFmtId="0" fontId="7" fillId="0" borderId="6" xfId="2" applyBorder="1" applyAlignment="1">
      <alignment horizontal="left" vertical="center" wrapText="1"/>
    </xf>
    <xf numFmtId="0" fontId="7" fillId="0" borderId="7" xfId="0" applyFont="1" applyBorder="1" applyAlignment="1" applyProtection="1">
      <alignment horizontal="left" vertical="center" wrapText="1"/>
      <protection locked="0"/>
    </xf>
    <xf numFmtId="1" fontId="7" fillId="0" borderId="7" xfId="0" applyNumberFormat="1" applyFont="1" applyBorder="1" applyAlignment="1" applyProtection="1">
      <alignment horizontal="center" vertical="center" wrapText="1"/>
      <protection locked="0"/>
    </xf>
    <xf numFmtId="164" fontId="7" fillId="0" borderId="7" xfId="6" applyNumberFormat="1" applyFont="1" applyFill="1" applyBorder="1" applyAlignment="1" applyProtection="1">
      <alignment horizontal="right" vertical="center" wrapText="1"/>
      <protection locked="0"/>
    </xf>
    <xf numFmtId="0" fontId="7" fillId="0" borderId="7" xfId="0" applyFont="1" applyBorder="1" applyAlignment="1" applyProtection="1">
      <alignment horizontal="left" vertical="top" wrapText="1"/>
      <protection locked="0"/>
    </xf>
    <xf numFmtId="14" fontId="34" fillId="0" borderId="1" xfId="0" applyNumberFormat="1" applyFont="1" applyBorder="1" applyAlignment="1" applyProtection="1">
      <alignment horizontal="center" vertical="center" wrapText="1"/>
      <protection locked="0"/>
    </xf>
    <xf numFmtId="0" fontId="34" fillId="0" borderId="1" xfId="0" applyFont="1" applyBorder="1" applyAlignment="1">
      <alignment horizontal="left" wrapText="1"/>
    </xf>
    <xf numFmtId="14" fontId="34" fillId="0" borderId="1" xfId="0" applyNumberFormat="1" applyFont="1" applyBorder="1" applyAlignment="1">
      <alignment horizontal="center" vertical="center"/>
    </xf>
    <xf numFmtId="164" fontId="7" fillId="0" borderId="1" xfId="0" applyNumberFormat="1" applyFont="1" applyBorder="1" applyAlignment="1" applyProtection="1">
      <alignment horizontal="center" vertical="center" wrapText="1"/>
      <protection locked="0"/>
    </xf>
    <xf numFmtId="0" fontId="7" fillId="0" borderId="6" xfId="0" applyFont="1" applyBorder="1" applyAlignment="1">
      <alignment horizontal="left" vertical="center" wrapText="1"/>
    </xf>
    <xf numFmtId="14" fontId="7" fillId="0" borderId="6" xfId="0" applyNumberFormat="1" applyFont="1" applyBorder="1" applyAlignment="1">
      <alignment horizontal="center" vertical="center" wrapText="1"/>
    </xf>
    <xf numFmtId="0" fontId="7" fillId="0" borderId="1" xfId="6" applyNumberFormat="1" applyFont="1" applyFill="1" applyBorder="1" applyAlignment="1">
      <alignment horizontal="center" vertical="center" wrapText="1"/>
    </xf>
    <xf numFmtId="0" fontId="7" fillId="0" borderId="0" xfId="0" applyFont="1" applyAlignment="1" applyProtection="1">
      <alignment horizontal="left" vertical="center" wrapText="1"/>
      <protection locked="0"/>
    </xf>
    <xf numFmtId="0" fontId="7" fillId="0" borderId="1" xfId="2" applyBorder="1" applyAlignment="1" applyProtection="1">
      <alignment horizontal="left" vertical="center" wrapText="1"/>
      <protection locked="0"/>
    </xf>
    <xf numFmtId="0" fontId="34" fillId="0" borderId="1" xfId="0" applyFont="1" applyBorder="1" applyAlignment="1">
      <alignment horizontal="center" vertical="center" wrapText="1"/>
    </xf>
    <xf numFmtId="0" fontId="34" fillId="0" borderId="1" xfId="0" applyFont="1" applyBorder="1" applyAlignment="1" applyProtection="1">
      <alignment horizontal="center" vertical="center" wrapText="1"/>
      <protection locked="0"/>
    </xf>
    <xf numFmtId="14" fontId="34" fillId="0" borderId="1" xfId="0" applyNumberFormat="1" applyFont="1" applyBorder="1" applyAlignment="1">
      <alignment horizontal="center" vertical="center" wrapText="1"/>
    </xf>
    <xf numFmtId="1" fontId="34" fillId="0" borderId="1" xfId="0" applyNumberFormat="1" applyFont="1" applyBorder="1" applyAlignment="1" applyProtection="1">
      <alignment horizontal="center" vertical="center" wrapText="1"/>
      <protection locked="0"/>
    </xf>
    <xf numFmtId="164" fontId="34" fillId="0" borderId="1" xfId="6" applyNumberFormat="1" applyFont="1" applyFill="1" applyBorder="1" applyAlignment="1" applyProtection="1">
      <alignment horizontal="center" vertical="center" wrapText="1"/>
      <protection locked="0"/>
    </xf>
    <xf numFmtId="0" fontId="34" fillId="0" borderId="1" xfId="2" applyFont="1" applyBorder="1" applyAlignment="1" applyProtection="1">
      <alignment horizontal="center" vertical="center" wrapText="1"/>
      <protection locked="0"/>
    </xf>
    <xf numFmtId="167" fontId="7" fillId="0" borderId="0" xfId="0" applyNumberFormat="1" applyFont="1" applyAlignment="1" applyProtection="1">
      <alignment horizontal="center" vertical="center" wrapText="1"/>
      <protection locked="0"/>
    </xf>
    <xf numFmtId="171" fontId="7" fillId="0" borderId="1" xfId="0" applyNumberFormat="1" applyFont="1" applyBorder="1" applyAlignment="1" applyProtection="1">
      <alignment horizontal="center" vertical="center" wrapText="1"/>
      <protection locked="0"/>
    </xf>
    <xf numFmtId="0" fontId="7" fillId="14" borderId="1" xfId="0" applyFont="1" applyFill="1" applyBorder="1" applyAlignment="1" applyProtection="1">
      <alignment horizontal="left" vertical="center" wrapText="1"/>
      <protection locked="0"/>
    </xf>
    <xf numFmtId="1" fontId="7" fillId="14" borderId="1" xfId="0" applyNumberFormat="1" applyFont="1" applyFill="1" applyBorder="1" applyAlignment="1" applyProtection="1">
      <alignment horizontal="center" vertical="center" wrapText="1"/>
      <protection locked="0"/>
    </xf>
    <xf numFmtId="0" fontId="7" fillId="7" borderId="1" xfId="0" applyFont="1" applyFill="1" applyBorder="1" applyAlignment="1">
      <alignment horizontal="center" vertical="center"/>
    </xf>
    <xf numFmtId="0" fontId="34" fillId="0" borderId="1" xfId="2" applyFont="1" applyBorder="1" applyAlignment="1">
      <alignment horizontal="center" vertical="center" wrapText="1"/>
    </xf>
    <xf numFmtId="0" fontId="34" fillId="0" borderId="1" xfId="0" applyFont="1" applyBorder="1" applyAlignment="1" applyProtection="1">
      <alignment horizontal="left" vertical="center" wrapText="1"/>
      <protection locked="0"/>
    </xf>
    <xf numFmtId="14" fontId="7" fillId="0" borderId="0" xfId="0" applyNumberFormat="1" applyFont="1" applyAlignment="1" applyProtection="1">
      <alignment horizontal="center" vertical="center" wrapText="1"/>
      <protection locked="0"/>
    </xf>
    <xf numFmtId="44" fontId="7" fillId="0" borderId="1" xfId="2" applyNumberFormat="1" applyBorder="1" applyAlignment="1">
      <alignment horizontal="center" vertical="center" wrapText="1"/>
    </xf>
    <xf numFmtId="0" fontId="7" fillId="2" borderId="1" xfId="0" applyFont="1" applyFill="1" applyBorder="1" applyAlignment="1">
      <alignment horizontal="center" vertical="center" wrapText="1"/>
    </xf>
    <xf numFmtId="44" fontId="33" fillId="0" borderId="1" xfId="0" applyNumberFormat="1" applyFont="1" applyBorder="1" applyAlignment="1">
      <alignment horizontal="center" vertical="center"/>
    </xf>
    <xf numFmtId="8" fontId="33" fillId="0" borderId="1" xfId="0" applyNumberFormat="1" applyFont="1" applyBorder="1" applyAlignment="1">
      <alignment vertical="center"/>
    </xf>
    <xf numFmtId="164" fontId="7" fillId="0" borderId="1" xfId="0" applyNumberFormat="1" applyFont="1" applyBorder="1" applyAlignment="1" applyProtection="1">
      <alignment horizontal="left" vertical="center" wrapText="1"/>
      <protection locked="0"/>
    </xf>
    <xf numFmtId="16" fontId="7" fillId="0" borderId="1" xfId="2" applyNumberFormat="1" applyBorder="1" applyAlignment="1">
      <alignment horizontal="center" vertical="center" wrapText="1"/>
    </xf>
    <xf numFmtId="167" fontId="7" fillId="7" borderId="1" xfId="6" applyNumberFormat="1" applyFont="1" applyFill="1" applyBorder="1" applyAlignment="1" applyProtection="1">
      <alignment horizontal="center" vertical="center" wrapText="1"/>
      <protection locked="0"/>
    </xf>
    <xf numFmtId="0" fontId="54" fillId="13" borderId="1" xfId="2" applyFont="1" applyFill="1" applyBorder="1" applyAlignment="1">
      <alignment horizontal="left" vertical="center" wrapText="1"/>
    </xf>
    <xf numFmtId="0" fontId="7" fillId="22" borderId="1" xfId="2" applyFill="1" applyBorder="1" applyAlignment="1">
      <alignment horizontal="center" vertical="center" wrapText="1"/>
    </xf>
    <xf numFmtId="0" fontId="7" fillId="22" borderId="1" xfId="0" applyFont="1" applyFill="1" applyBorder="1" applyAlignment="1">
      <alignment horizontal="center" vertical="center" wrapText="1"/>
    </xf>
    <xf numFmtId="0" fontId="7" fillId="22" borderId="1" xfId="0" applyFont="1" applyFill="1" applyBorder="1" applyAlignment="1" applyProtection="1">
      <alignment horizontal="center" vertical="center" wrapText="1"/>
      <protection locked="0"/>
    </xf>
    <xf numFmtId="0" fontId="7" fillId="0" borderId="14" xfId="0" applyFont="1" applyBorder="1" applyAlignment="1">
      <alignment horizontal="center" vertical="center" wrapText="1"/>
    </xf>
    <xf numFmtId="1" fontId="7" fillId="0" borderId="14" xfId="0" applyNumberFormat="1" applyFont="1" applyBorder="1" applyAlignment="1" applyProtection="1">
      <alignment horizontal="center" vertical="center" wrapText="1"/>
      <protection locked="0"/>
    </xf>
    <xf numFmtId="0" fontId="34" fillId="0" borderId="14" xfId="0" applyFont="1" applyBorder="1" applyAlignment="1">
      <alignment horizontal="center" vertical="center"/>
    </xf>
    <xf numFmtId="0" fontId="7" fillId="0" borderId="12" xfId="2" applyBorder="1" applyAlignment="1">
      <alignment horizontal="center" vertical="center" wrapText="1"/>
    </xf>
    <xf numFmtId="0" fontId="7" fillId="0" borderId="12" xfId="0" applyFont="1" applyBorder="1" applyAlignment="1">
      <alignment horizontal="center" vertical="center" wrapText="1"/>
    </xf>
    <xf numFmtId="0" fontId="7" fillId="0" borderId="12" xfId="2" applyBorder="1" applyAlignment="1">
      <alignment horizontal="left" vertical="center" wrapText="1"/>
    </xf>
    <xf numFmtId="14" fontId="7" fillId="0" borderId="12" xfId="0" applyNumberFormat="1" applyFont="1" applyBorder="1" applyAlignment="1">
      <alignment horizontal="center" vertical="center" wrapText="1"/>
    </xf>
    <xf numFmtId="14" fontId="7" fillId="0" borderId="12" xfId="2" applyNumberFormat="1" applyBorder="1" applyAlignment="1">
      <alignment horizontal="center" vertical="center" wrapText="1"/>
    </xf>
    <xf numFmtId="1" fontId="7" fillId="0" borderId="12" xfId="2" applyNumberFormat="1" applyBorder="1" applyAlignment="1">
      <alignment horizontal="center" vertical="center" wrapText="1"/>
    </xf>
    <xf numFmtId="164" fontId="7" fillId="0" borderId="12" xfId="6" applyNumberFormat="1" applyFont="1" applyFill="1" applyBorder="1" applyAlignment="1" applyProtection="1">
      <alignment horizontal="center" vertical="center" wrapText="1"/>
      <protection locked="0"/>
    </xf>
    <xf numFmtId="14" fontId="7" fillId="0" borderId="12" xfId="0" applyNumberFormat="1" applyFont="1" applyBorder="1" applyAlignment="1" applyProtection="1">
      <alignment horizontal="center" vertical="center" wrapText="1"/>
      <protection locked="0"/>
    </xf>
    <xf numFmtId="167" fontId="7" fillId="0" borderId="12" xfId="0" applyNumberFormat="1" applyFont="1" applyBorder="1" applyAlignment="1" applyProtection="1">
      <alignment horizontal="center" vertical="center" wrapText="1"/>
      <protection locked="0"/>
    </xf>
    <xf numFmtId="0" fontId="34" fillId="0" borderId="12" xfId="0" applyFont="1" applyBorder="1" applyAlignment="1">
      <alignment horizontal="center" vertical="center"/>
    </xf>
    <xf numFmtId="0" fontId="34" fillId="0" borderId="7" xfId="0" applyFont="1" applyBorder="1" applyAlignment="1">
      <alignment horizontal="center" vertical="center"/>
    </xf>
    <xf numFmtId="0" fontId="0" fillId="0" borderId="0" xfId="0" applyAlignment="1">
      <alignment horizontal="center"/>
    </xf>
    <xf numFmtId="0" fontId="63" fillId="0" borderId="1" xfId="0" applyFont="1" applyBorder="1" applyAlignment="1">
      <alignment horizontal="center" vertical="center"/>
    </xf>
    <xf numFmtId="0" fontId="64" fillId="0" borderId="23" xfId="0" applyFont="1" applyBorder="1" applyAlignment="1">
      <alignment horizontal="center" vertical="center"/>
    </xf>
    <xf numFmtId="0" fontId="64" fillId="0" borderId="4" xfId="0" applyFont="1" applyBorder="1" applyAlignment="1">
      <alignment horizontal="center" vertical="center"/>
    </xf>
    <xf numFmtId="0" fontId="64" fillId="0" borderId="4" xfId="0" applyFont="1" applyBorder="1" applyAlignment="1" applyProtection="1">
      <alignment horizontal="center" vertical="center" wrapText="1"/>
      <protection locked="0"/>
    </xf>
    <xf numFmtId="0" fontId="64" fillId="0" borderId="6" xfId="0" applyFont="1" applyBorder="1" applyAlignment="1" applyProtection="1">
      <alignment horizontal="center" vertical="center" wrapText="1"/>
      <protection locked="0"/>
    </xf>
    <xf numFmtId="0" fontId="64" fillId="0" borderId="14" xfId="0" applyFont="1" applyBorder="1" applyAlignment="1">
      <alignment horizontal="center" vertical="center" wrapText="1"/>
    </xf>
    <xf numFmtId="0" fontId="64" fillId="0" borderId="1" xfId="0" applyFont="1" applyBorder="1" applyAlignment="1">
      <alignment horizontal="center" vertical="center"/>
    </xf>
    <xf numFmtId="0" fontId="64" fillId="0" borderId="1" xfId="0" applyFont="1" applyBorder="1" applyAlignment="1" applyProtection="1">
      <alignment horizontal="left" vertical="center" wrapText="1"/>
      <protection locked="0"/>
    </xf>
    <xf numFmtId="0" fontId="64" fillId="0" borderId="1" xfId="0" applyFont="1" applyBorder="1" applyAlignment="1" applyProtection="1">
      <alignment horizontal="center" vertical="center" wrapText="1"/>
      <protection locked="0"/>
    </xf>
    <xf numFmtId="14" fontId="64" fillId="0" borderId="1" xfId="0" applyNumberFormat="1" applyFont="1" applyBorder="1" applyAlignment="1" applyProtection="1">
      <alignment horizontal="center" vertical="center" wrapText="1"/>
      <protection locked="0"/>
    </xf>
    <xf numFmtId="14" fontId="64" fillId="0" borderId="1" xfId="0" applyNumberFormat="1" applyFont="1" applyBorder="1" applyAlignment="1">
      <alignment horizontal="center" vertical="center" wrapText="1"/>
    </xf>
    <xf numFmtId="14" fontId="64" fillId="0" borderId="1" xfId="1" applyNumberFormat="1" applyFont="1" applyBorder="1" applyAlignment="1">
      <alignment horizontal="center" vertical="center" wrapText="1"/>
    </xf>
    <xf numFmtId="0" fontId="64" fillId="0" borderId="12" xfId="0" applyFont="1" applyBorder="1" applyAlignment="1" applyProtection="1">
      <alignment horizontal="center" vertical="center" wrapText="1"/>
      <protection locked="0"/>
    </xf>
    <xf numFmtId="0" fontId="64" fillId="0" borderId="21" xfId="2" applyFont="1" applyBorder="1" applyAlignment="1">
      <alignment horizontal="center" vertical="center" wrapText="1"/>
    </xf>
    <xf numFmtId="0" fontId="64" fillId="0" borderId="1" xfId="2" applyFont="1" applyBorder="1" applyAlignment="1">
      <alignment horizontal="center" vertical="center" wrapText="1"/>
    </xf>
    <xf numFmtId="0" fontId="64" fillId="0" borderId="3" xfId="0" applyFont="1" applyBorder="1" applyAlignment="1">
      <alignment horizontal="center" vertical="center" wrapText="1"/>
    </xf>
    <xf numFmtId="0" fontId="64" fillId="0" borderId="1" xfId="0" applyFont="1" applyBorder="1" applyAlignment="1">
      <alignment horizontal="left" vertical="center" wrapText="1"/>
    </xf>
    <xf numFmtId="0" fontId="64" fillId="0" borderId="1" xfId="2" applyFont="1" applyBorder="1" applyAlignment="1">
      <alignment horizontal="left" vertical="center" wrapText="1"/>
    </xf>
    <xf numFmtId="0" fontId="64" fillId="0" borderId="1" xfId="0" applyFont="1" applyBorder="1" applyAlignment="1">
      <alignment horizontal="center" vertical="center" wrapText="1"/>
    </xf>
    <xf numFmtId="165" fontId="64" fillId="0" borderId="1" xfId="0" applyNumberFormat="1" applyFont="1" applyBorder="1" applyAlignment="1">
      <alignment horizontal="center" vertical="center" wrapText="1"/>
    </xf>
    <xf numFmtId="167" fontId="65" fillId="0" borderId="1" xfId="0" applyNumberFormat="1" applyFont="1" applyBorder="1" applyAlignment="1" applyProtection="1">
      <alignment horizontal="center" vertical="center" wrapText="1"/>
      <protection locked="0"/>
    </xf>
    <xf numFmtId="0" fontId="64" fillId="0" borderId="1" xfId="0" applyFont="1" applyBorder="1" applyAlignment="1" applyProtection="1">
      <alignment horizontal="center" vertical="center"/>
      <protection locked="0"/>
    </xf>
    <xf numFmtId="0" fontId="64" fillId="0" borderId="2" xfId="0" applyFont="1" applyBorder="1" applyAlignment="1" applyProtection="1">
      <alignment horizontal="center" vertical="center"/>
      <protection locked="0"/>
    </xf>
    <xf numFmtId="168" fontId="64" fillId="0" borderId="3" xfId="6" applyNumberFormat="1" applyFont="1" applyFill="1" applyBorder="1" applyAlignment="1" applyProtection="1">
      <alignment horizontal="center" vertical="center" wrapText="1"/>
      <protection locked="0"/>
    </xf>
    <xf numFmtId="168" fontId="64" fillId="0" borderId="1" xfId="0" applyNumberFormat="1" applyFont="1" applyBorder="1" applyAlignment="1" applyProtection="1">
      <alignment horizontal="center" vertical="center" wrapText="1"/>
      <protection locked="0"/>
    </xf>
    <xf numFmtId="14" fontId="63" fillId="0" borderId="1" xfId="0" applyNumberFormat="1" applyFont="1" applyBorder="1" applyAlignment="1">
      <alignment horizontal="center" vertical="center"/>
    </xf>
    <xf numFmtId="168" fontId="64" fillId="0" borderId="1" xfId="0" applyNumberFormat="1" applyFont="1" applyBorder="1" applyAlignment="1">
      <alignment horizontal="center" vertical="center" wrapText="1"/>
    </xf>
    <xf numFmtId="14" fontId="64" fillId="0" borderId="1" xfId="2" applyNumberFormat="1" applyFont="1" applyBorder="1" applyAlignment="1">
      <alignment horizontal="center" vertical="center" wrapText="1"/>
    </xf>
    <xf numFmtId="1" fontId="64" fillId="0" borderId="2" xfId="2" applyNumberFormat="1" applyFont="1" applyBorder="1" applyAlignment="1">
      <alignment horizontal="center" vertical="center" wrapText="1"/>
    </xf>
    <xf numFmtId="167" fontId="64" fillId="0" borderId="1" xfId="0" applyNumberFormat="1" applyFont="1" applyBorder="1" applyAlignment="1" applyProtection="1">
      <alignment horizontal="center" vertical="center" wrapText="1"/>
      <protection locked="0"/>
    </xf>
    <xf numFmtId="14" fontId="63" fillId="0" borderId="1" xfId="6" applyNumberFormat="1" applyFont="1" applyFill="1" applyBorder="1" applyAlignment="1">
      <alignment horizontal="left" vertical="center" wrapText="1"/>
    </xf>
    <xf numFmtId="165" fontId="64" fillId="0" borderId="1" xfId="0" applyNumberFormat="1" applyFont="1" applyBorder="1" applyAlignment="1" applyProtection="1">
      <alignment horizontal="center" vertical="center" wrapText="1"/>
      <protection locked="0"/>
    </xf>
    <xf numFmtId="14" fontId="64" fillId="0" borderId="1" xfId="0" applyNumberFormat="1" applyFont="1" applyBorder="1" applyAlignment="1" applyProtection="1">
      <alignment horizontal="center" vertical="center"/>
      <protection locked="0"/>
    </xf>
    <xf numFmtId="168" fontId="64" fillId="0" borderId="1" xfId="6" applyNumberFormat="1" applyFont="1" applyFill="1" applyBorder="1" applyAlignment="1" applyProtection="1">
      <alignment horizontal="center" vertical="center" wrapText="1"/>
      <protection locked="0"/>
    </xf>
    <xf numFmtId="0" fontId="64" fillId="0" borderId="1" xfId="1" applyFont="1" applyBorder="1" applyAlignment="1">
      <alignment horizontal="center" vertical="center" wrapText="1"/>
    </xf>
    <xf numFmtId="0" fontId="64" fillId="0" borderId="0" xfId="0" applyFont="1" applyAlignment="1">
      <alignment horizontal="center" vertical="center"/>
    </xf>
    <xf numFmtId="14" fontId="64" fillId="0" borderId="7" xfId="0" applyNumberFormat="1" applyFont="1" applyBorder="1" applyAlignment="1" applyProtection="1">
      <alignment horizontal="center" vertical="center" wrapText="1"/>
      <protection locked="0"/>
    </xf>
    <xf numFmtId="14" fontId="64" fillId="0" borderId="12" xfId="0" applyNumberFormat="1" applyFont="1" applyBorder="1" applyAlignment="1" applyProtection="1">
      <alignment horizontal="center" vertical="center" wrapText="1"/>
      <protection locked="0"/>
    </xf>
    <xf numFmtId="0" fontId="64" fillId="0" borderId="12" xfId="0" applyFont="1" applyBorder="1" applyAlignment="1">
      <alignment horizontal="center" vertical="center" wrapText="1"/>
    </xf>
    <xf numFmtId="166" fontId="64" fillId="0" borderId="1" xfId="0" applyNumberFormat="1" applyFont="1" applyBorder="1" applyAlignment="1" applyProtection="1">
      <alignment horizontal="center" vertical="center" wrapText="1"/>
      <protection locked="0"/>
    </xf>
    <xf numFmtId="0" fontId="64" fillId="0" borderId="0" xfId="0" applyFont="1" applyAlignment="1" applyProtection="1">
      <alignment horizontal="center" vertical="center"/>
      <protection locked="0"/>
    </xf>
    <xf numFmtId="0" fontId="63" fillId="0" borderId="1" xfId="0" applyFont="1" applyBorder="1" applyAlignment="1">
      <alignment horizontal="center" vertical="center" wrapText="1"/>
    </xf>
    <xf numFmtId="164" fontId="64" fillId="0" borderId="1" xfId="6" applyNumberFormat="1" applyFont="1" applyFill="1" applyBorder="1" applyAlignment="1" applyProtection="1">
      <alignment horizontal="center" vertical="center" wrapText="1"/>
      <protection locked="0"/>
    </xf>
    <xf numFmtId="14" fontId="64" fillId="11" borderId="1" xfId="0" applyNumberFormat="1" applyFont="1" applyFill="1" applyBorder="1" applyAlignment="1" applyProtection="1">
      <alignment horizontal="center" vertical="center" wrapText="1"/>
      <protection locked="0"/>
    </xf>
    <xf numFmtId="14" fontId="64" fillId="11" borderId="1" xfId="0" applyNumberFormat="1" applyFont="1" applyFill="1" applyBorder="1" applyAlignment="1">
      <alignment horizontal="center" vertical="center" wrapText="1"/>
    </xf>
    <xf numFmtId="168" fontId="64" fillId="0" borderId="0" xfId="0" applyNumberFormat="1" applyFont="1" applyAlignment="1" applyProtection="1">
      <alignment horizontal="center" vertical="center" wrapText="1"/>
      <protection locked="0"/>
    </xf>
    <xf numFmtId="0" fontId="64" fillId="2" borderId="1" xfId="0" applyFont="1" applyFill="1" applyBorder="1" applyAlignment="1" applyProtection="1">
      <alignment horizontal="center" vertical="center" wrapText="1"/>
      <protection locked="0"/>
    </xf>
    <xf numFmtId="49" fontId="64" fillId="2" borderId="12" xfId="0" applyNumberFormat="1" applyFont="1" applyFill="1" applyBorder="1" applyAlignment="1" applyProtection="1">
      <alignment horizontal="center" vertical="center" wrapText="1"/>
      <protection locked="0"/>
    </xf>
    <xf numFmtId="0" fontId="63" fillId="0" borderId="23" xfId="0" applyFont="1" applyBorder="1" applyAlignment="1">
      <alignment horizontal="center" vertical="center"/>
    </xf>
    <xf numFmtId="0" fontId="64" fillId="0" borderId="0" xfId="0" applyFont="1" applyAlignment="1" applyProtection="1">
      <alignment horizontal="center" vertical="center" wrapText="1"/>
      <protection locked="0"/>
    </xf>
    <xf numFmtId="0" fontId="64" fillId="0" borderId="6" xfId="0" applyFont="1" applyBorder="1" applyAlignment="1">
      <alignment horizontal="center" vertical="center" wrapText="1"/>
    </xf>
    <xf numFmtId="1" fontId="64" fillId="0" borderId="1" xfId="0" applyNumberFormat="1" applyFont="1" applyBorder="1" applyAlignment="1">
      <alignment horizontal="center" vertical="center" wrapText="1"/>
    </xf>
    <xf numFmtId="0" fontId="64" fillId="10" borderId="21" xfId="2" applyFont="1" applyFill="1" applyBorder="1" applyAlignment="1">
      <alignment horizontal="center" vertical="center" wrapText="1"/>
    </xf>
    <xf numFmtId="0" fontId="64" fillId="10" borderId="1" xfId="2" applyFont="1" applyFill="1" applyBorder="1" applyAlignment="1">
      <alignment horizontal="center" vertical="center" wrapText="1"/>
    </xf>
    <xf numFmtId="0" fontId="64" fillId="10" borderId="3" xfId="0" applyFont="1" applyFill="1" applyBorder="1" applyAlignment="1">
      <alignment horizontal="center" vertical="center" wrapText="1"/>
    </xf>
    <xf numFmtId="0" fontId="64" fillId="10" borderId="1" xfId="0" applyFont="1" applyFill="1" applyBorder="1" applyAlignment="1">
      <alignment horizontal="center" vertical="center" wrapText="1"/>
    </xf>
    <xf numFmtId="165" fontId="64" fillId="10" borderId="1" xfId="0" applyNumberFormat="1" applyFont="1" applyFill="1" applyBorder="1" applyAlignment="1">
      <alignment horizontal="center" vertical="center" wrapText="1"/>
    </xf>
    <xf numFmtId="14" fontId="64" fillId="10" borderId="1" xfId="0" applyNumberFormat="1" applyFont="1" applyFill="1" applyBorder="1" applyAlignment="1">
      <alignment horizontal="center" vertical="center" wrapText="1"/>
    </xf>
    <xf numFmtId="14" fontId="64" fillId="10" borderId="1" xfId="2" applyNumberFormat="1" applyFont="1" applyFill="1" applyBorder="1" applyAlignment="1">
      <alignment horizontal="center" vertical="center" wrapText="1"/>
    </xf>
    <xf numFmtId="1" fontId="64" fillId="10" borderId="2" xfId="2" applyNumberFormat="1" applyFont="1" applyFill="1" applyBorder="1" applyAlignment="1">
      <alignment horizontal="center" vertical="center" wrapText="1"/>
    </xf>
    <xf numFmtId="1" fontId="64" fillId="10" borderId="12" xfId="2" applyNumberFormat="1" applyFont="1" applyFill="1" applyBorder="1" applyAlignment="1">
      <alignment horizontal="center" vertical="center" wrapText="1"/>
    </xf>
    <xf numFmtId="14" fontId="64" fillId="10" borderId="1" xfId="0" applyNumberFormat="1" applyFont="1" applyFill="1" applyBorder="1" applyAlignment="1" applyProtection="1">
      <alignment horizontal="center" vertical="center" wrapText="1"/>
      <protection locked="0"/>
    </xf>
    <xf numFmtId="167" fontId="64" fillId="10" borderId="1" xfId="0" applyNumberFormat="1" applyFont="1" applyFill="1" applyBorder="1" applyAlignment="1" applyProtection="1">
      <alignment horizontal="center" vertical="center" wrapText="1"/>
      <protection locked="0"/>
    </xf>
    <xf numFmtId="0" fontId="63" fillId="10" borderId="1" xfId="0" applyFont="1" applyFill="1" applyBorder="1" applyAlignment="1">
      <alignment horizontal="center" vertical="center"/>
    </xf>
    <xf numFmtId="168" fontId="64" fillId="0" borderId="0" xfId="6" applyNumberFormat="1" applyFont="1" applyFill="1" applyBorder="1" applyAlignment="1" applyProtection="1">
      <alignment horizontal="center" vertical="center" wrapText="1"/>
      <protection locked="0"/>
    </xf>
    <xf numFmtId="49" fontId="64" fillId="0" borderId="1" xfId="0" applyNumberFormat="1" applyFont="1" applyBorder="1" applyAlignment="1" applyProtection="1">
      <alignment horizontal="center" vertical="center" wrapText="1"/>
      <protection locked="0"/>
    </xf>
    <xf numFmtId="0" fontId="63" fillId="0" borderId="0" xfId="0" applyFont="1" applyAlignment="1">
      <alignment horizontal="center" vertical="center"/>
    </xf>
    <xf numFmtId="1" fontId="64" fillId="0" borderId="1" xfId="2" applyNumberFormat="1" applyFont="1" applyBorder="1" applyAlignment="1">
      <alignment horizontal="center" vertical="center" wrapText="1"/>
    </xf>
    <xf numFmtId="167" fontId="64" fillId="0" borderId="0" xfId="0" applyNumberFormat="1" applyFont="1" applyAlignment="1" applyProtection="1">
      <alignment horizontal="center" vertical="center" wrapText="1"/>
      <protection locked="0"/>
    </xf>
    <xf numFmtId="49" fontId="64" fillId="0" borderId="1" xfId="0" applyNumberFormat="1" applyFont="1" applyBorder="1" applyAlignment="1" applyProtection="1">
      <alignment horizontal="center" vertical="center"/>
      <protection locked="0"/>
    </xf>
    <xf numFmtId="167" fontId="64" fillId="0" borderId="1" xfId="6" applyNumberFormat="1" applyFont="1" applyFill="1" applyBorder="1" applyAlignment="1" applyProtection="1">
      <alignment horizontal="center" vertical="center" wrapText="1"/>
      <protection locked="0"/>
    </xf>
    <xf numFmtId="0" fontId="63" fillId="0" borderId="0" xfId="0" applyFont="1"/>
    <xf numFmtId="0" fontId="63" fillId="4" borderId="0" xfId="0" applyFont="1" applyFill="1"/>
    <xf numFmtId="0" fontId="64" fillId="0" borderId="0" xfId="0" applyFont="1" applyAlignment="1">
      <alignment vertical="top"/>
    </xf>
    <xf numFmtId="0" fontId="64" fillId="0" borderId="0" xfId="0" applyFont="1"/>
    <xf numFmtId="14" fontId="63" fillId="0" borderId="0" xfId="0" applyNumberFormat="1" applyFont="1" applyAlignment="1">
      <alignment horizontal="center" vertical="center"/>
    </xf>
    <xf numFmtId="0" fontId="63" fillId="0" borderId="0" xfId="0" applyFont="1" applyAlignment="1">
      <alignment horizontal="center" vertical="center" wrapText="1"/>
    </xf>
    <xf numFmtId="0" fontId="64" fillId="0" borderId="14" xfId="0" applyFont="1" applyBorder="1" applyAlignment="1" applyProtection="1">
      <alignment horizontal="center" vertical="center" wrapText="1"/>
      <protection locked="0"/>
    </xf>
    <xf numFmtId="0" fontId="64" fillId="0" borderId="0" xfId="0" applyFont="1" applyAlignment="1">
      <alignment horizontal="center" vertical="center" wrapText="1"/>
    </xf>
    <xf numFmtId="0" fontId="64" fillId="2" borderId="12" xfId="2" applyFont="1" applyFill="1" applyBorder="1" applyAlignment="1">
      <alignment horizontal="center" vertical="center" wrapText="1"/>
    </xf>
    <xf numFmtId="0" fontId="64" fillId="2" borderId="0" xfId="2" applyFont="1" applyFill="1" applyAlignment="1">
      <alignment horizontal="center" vertical="center" wrapText="1"/>
    </xf>
    <xf numFmtId="0" fontId="2" fillId="0" borderId="0" xfId="0" applyFont="1" applyAlignment="1">
      <alignment vertical="center"/>
    </xf>
    <xf numFmtId="0" fontId="2" fillId="0" borderId="0" xfId="0" applyFont="1"/>
    <xf numFmtId="168" fontId="64" fillId="0" borderId="4" xfId="6" applyNumberFormat="1" applyFont="1" applyFill="1" applyBorder="1" applyAlignment="1" applyProtection="1">
      <alignment horizontal="center" vertical="center" wrapText="1"/>
      <protection locked="0"/>
    </xf>
    <xf numFmtId="0" fontId="64" fillId="0" borderId="1" xfId="0" applyFont="1" applyBorder="1" applyAlignment="1">
      <alignment horizontal="left" vertical="top" wrapText="1"/>
    </xf>
    <xf numFmtId="0" fontId="4" fillId="3" borderId="12" xfId="2" applyFont="1" applyFill="1" applyBorder="1" applyAlignment="1" applyProtection="1">
      <alignment horizontal="center" vertical="center" textRotation="180" wrapText="1"/>
      <protection locked="0"/>
    </xf>
    <xf numFmtId="0" fontId="4" fillId="3" borderId="3" xfId="2" applyFont="1" applyFill="1" applyBorder="1" applyAlignment="1" applyProtection="1">
      <alignment horizontal="center" vertical="center" textRotation="180" wrapText="1"/>
      <protection locked="0"/>
    </xf>
    <xf numFmtId="0" fontId="64" fillId="0" borderId="0" xfId="0" applyFont="1" applyAlignment="1" applyProtection="1">
      <alignment horizontal="left" vertical="center" wrapText="1"/>
      <protection locked="0"/>
    </xf>
    <xf numFmtId="165" fontId="64" fillId="0" borderId="1" xfId="0" applyNumberFormat="1" applyFont="1" applyBorder="1" applyAlignment="1" applyProtection="1">
      <alignment horizontal="center" vertical="center"/>
      <protection locked="0"/>
    </xf>
    <xf numFmtId="168" fontId="64" fillId="10" borderId="3" xfId="6" applyNumberFormat="1" applyFont="1" applyFill="1" applyBorder="1" applyAlignment="1" applyProtection="1">
      <alignment horizontal="center" vertical="center" wrapText="1"/>
      <protection locked="0"/>
    </xf>
    <xf numFmtId="14" fontId="63" fillId="10" borderId="1" xfId="0" applyNumberFormat="1" applyFont="1" applyFill="1" applyBorder="1" applyAlignment="1">
      <alignment horizontal="center" vertical="center"/>
    </xf>
    <xf numFmtId="14" fontId="64" fillId="10" borderId="3" xfId="0" applyNumberFormat="1" applyFont="1" applyFill="1" applyBorder="1" applyAlignment="1" applyProtection="1">
      <alignment horizontal="center" vertical="center" wrapText="1"/>
      <protection locked="0"/>
    </xf>
    <xf numFmtId="0" fontId="55" fillId="0" borderId="0" xfId="2" applyFont="1" applyAlignment="1">
      <alignment horizontal="center" vertical="center" wrapText="1"/>
    </xf>
    <xf numFmtId="0" fontId="55" fillId="0" borderId="3" xfId="2" applyFont="1" applyBorder="1" applyAlignment="1">
      <alignment horizontal="center" vertical="center" wrapText="1"/>
    </xf>
    <xf numFmtId="0" fontId="55" fillId="0" borderId="12" xfId="2" applyFont="1" applyBorder="1" applyAlignment="1">
      <alignment horizontal="center" vertical="center" wrapText="1"/>
    </xf>
    <xf numFmtId="0" fontId="55" fillId="0" borderId="21" xfId="2" applyFont="1" applyBorder="1" applyAlignment="1">
      <alignment horizontal="center" vertical="center" wrapText="1"/>
    </xf>
    <xf numFmtId="0" fontId="5" fillId="0" borderId="21" xfId="0" applyFont="1" applyBorder="1" applyAlignment="1" applyProtection="1">
      <alignment vertical="center"/>
      <protection locked="0"/>
    </xf>
    <xf numFmtId="0" fontId="0" fillId="2" borderId="3" xfId="0" applyFill="1" applyBorder="1"/>
    <xf numFmtId="0" fontId="55" fillId="0" borderId="20" xfId="2" applyFont="1" applyBorder="1" applyAlignment="1">
      <alignment horizontal="center" vertical="center" wrapText="1"/>
    </xf>
    <xf numFmtId="0" fontId="0" fillId="4" borderId="3" xfId="0" applyFill="1" applyBorder="1"/>
    <xf numFmtId="0" fontId="7" fillId="0" borderId="2" xfId="2" applyBorder="1" applyAlignment="1">
      <alignment horizontal="center" vertical="center" wrapText="1"/>
    </xf>
    <xf numFmtId="0" fontId="5" fillId="2" borderId="2" xfId="0" applyFont="1" applyFill="1" applyBorder="1" applyAlignment="1" applyProtection="1">
      <alignment vertical="center"/>
      <protection locked="0"/>
    </xf>
    <xf numFmtId="0" fontId="7" fillId="0" borderId="2" xfId="0" applyFont="1" applyBorder="1" applyAlignment="1">
      <alignment horizontal="left" vertical="center" wrapText="1"/>
    </xf>
    <xf numFmtId="0" fontId="17" fillId="0" borderId="1" xfId="0" applyFont="1" applyBorder="1"/>
    <xf numFmtId="0" fontId="15" fillId="0" borderId="2" xfId="0" applyFont="1" applyBorder="1" applyAlignment="1">
      <alignment vertical="center"/>
    </xf>
    <xf numFmtId="0" fontId="7" fillId="0" borderId="13" xfId="2" applyBorder="1" applyAlignment="1">
      <alignment horizontal="center" vertical="center" wrapText="1"/>
    </xf>
    <xf numFmtId="0" fontId="5" fillId="4" borderId="2" xfId="0" applyFont="1" applyFill="1" applyBorder="1" applyAlignment="1" applyProtection="1">
      <alignment horizontal="left" vertical="center"/>
      <protection locked="0"/>
    </xf>
    <xf numFmtId="0" fontId="55" fillId="0" borderId="3" xfId="0" applyFont="1" applyBorder="1" applyAlignment="1">
      <alignment horizontal="center" vertical="center" wrapText="1"/>
    </xf>
    <xf numFmtId="0" fontId="5" fillId="2" borderId="6" xfId="0" applyFont="1" applyFill="1" applyBorder="1" applyAlignment="1" applyProtection="1">
      <alignment horizontal="center" vertical="center" wrapText="1"/>
      <protection locked="0"/>
    </xf>
    <xf numFmtId="0" fontId="5" fillId="14" borderId="1" xfId="0" applyFont="1" applyFill="1" applyBorder="1" applyAlignment="1">
      <alignment vertical="center"/>
    </xf>
    <xf numFmtId="0" fontId="55" fillId="0" borderId="12" xfId="0" applyFont="1" applyBorder="1" applyAlignment="1">
      <alignment horizontal="center" vertical="center" wrapText="1"/>
    </xf>
    <xf numFmtId="0" fontId="5" fillId="17" borderId="3" xfId="0" applyFont="1" applyFill="1" applyBorder="1" applyAlignment="1" applyProtection="1">
      <alignment horizontal="left" vertical="center" wrapText="1"/>
      <protection locked="0"/>
    </xf>
    <xf numFmtId="0" fontId="5" fillId="0" borderId="3" xfId="0" applyFont="1" applyBorder="1"/>
    <xf numFmtId="0" fontId="7" fillId="0" borderId="16" xfId="0" applyFont="1" applyBorder="1" applyAlignment="1">
      <alignment horizontal="center" vertical="center" wrapText="1"/>
    </xf>
    <xf numFmtId="0" fontId="5" fillId="0" borderId="8" xfId="0" applyFont="1" applyBorder="1" applyAlignment="1" applyProtection="1">
      <alignment vertical="center"/>
      <protection locked="0"/>
    </xf>
    <xf numFmtId="0" fontId="5" fillId="0" borderId="6" xfId="0" applyFont="1" applyBorder="1" applyAlignment="1" applyProtection="1">
      <alignment horizontal="left" vertical="top" wrapText="1"/>
      <protection locked="0"/>
    </xf>
    <xf numFmtId="0" fontId="7" fillId="0" borderId="13" xfId="0" applyFont="1" applyBorder="1" applyAlignment="1">
      <alignment horizontal="center" vertical="center" wrapText="1"/>
    </xf>
    <xf numFmtId="0" fontId="53" fillId="14" borderId="12" xfId="0" applyFont="1" applyFill="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55" fillId="0" borderId="12" xfId="0" applyFont="1" applyBorder="1" applyAlignment="1" applyProtection="1">
      <alignment horizontal="left" vertical="center" wrapText="1"/>
      <protection locked="0"/>
    </xf>
    <xf numFmtId="0" fontId="7" fillId="0" borderId="16"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5" fillId="0" borderId="6" xfId="0" applyFont="1" applyBorder="1" applyAlignment="1" applyProtection="1">
      <alignment vertical="center" wrapText="1"/>
      <protection locked="0"/>
    </xf>
    <xf numFmtId="0" fontId="53" fillId="14" borderId="1" xfId="0" applyFont="1" applyFill="1" applyBorder="1" applyAlignment="1">
      <alignment horizontal="left" vertical="center" wrapText="1"/>
    </xf>
    <xf numFmtId="0" fontId="53" fillId="7" borderId="1" xfId="0" applyFont="1" applyFill="1" applyBorder="1" applyAlignment="1">
      <alignment horizontal="left" vertical="center" wrapText="1"/>
    </xf>
    <xf numFmtId="0" fontId="7" fillId="14" borderId="1" xfId="0" applyFont="1" applyFill="1" applyBorder="1" applyAlignment="1">
      <alignment horizontal="left" vertical="center" wrapText="1"/>
    </xf>
    <xf numFmtId="0" fontId="5" fillId="2" borderId="0" xfId="0" applyFont="1" applyFill="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15" fontId="7" fillId="0" borderId="3" xfId="0" applyNumberFormat="1" applyFont="1" applyBorder="1" applyAlignment="1" applyProtection="1">
      <alignment horizontal="center" vertical="center" wrapText="1"/>
      <protection locked="0"/>
    </xf>
    <xf numFmtId="15" fontId="7" fillId="0" borderId="12" xfId="0" quotePrefix="1" applyNumberFormat="1" applyFont="1" applyBorder="1" applyAlignment="1" applyProtection="1">
      <alignment horizontal="center" vertical="center" wrapText="1"/>
      <protection locked="0"/>
    </xf>
    <xf numFmtId="15" fontId="7" fillId="0" borderId="7" xfId="0" applyNumberFormat="1" applyFont="1" applyBorder="1" applyAlignment="1" applyProtection="1">
      <alignment horizontal="center" vertical="center" wrapText="1"/>
      <protection locked="0"/>
    </xf>
    <xf numFmtId="169" fontId="7" fillId="0" borderId="26" xfId="0" applyNumberFormat="1" applyFont="1" applyBorder="1" applyAlignment="1" applyProtection="1">
      <alignment horizontal="center" vertical="center" wrapText="1"/>
      <protection locked="0"/>
    </xf>
    <xf numFmtId="14" fontId="5" fillId="0" borderId="6" xfId="0" applyNumberFormat="1" applyFont="1" applyBorder="1" applyAlignment="1" applyProtection="1">
      <alignment horizontal="left" vertical="top" wrapText="1"/>
      <protection locked="0"/>
    </xf>
    <xf numFmtId="169" fontId="7" fillId="0" borderId="13" xfId="0" applyNumberFormat="1" applyFont="1" applyBorder="1" applyAlignment="1" applyProtection="1">
      <alignment horizontal="center" vertical="center" wrapText="1"/>
      <protection locked="0"/>
    </xf>
    <xf numFmtId="14" fontId="5" fillId="0" borderId="6" xfId="0" applyNumberFormat="1" applyFont="1" applyBorder="1" applyAlignment="1">
      <alignment horizontal="center" vertical="top" wrapText="1"/>
    </xf>
    <xf numFmtId="169" fontId="7" fillId="0" borderId="16" xfId="0" applyNumberFormat="1" applyFont="1" applyBorder="1" applyAlignment="1" applyProtection="1">
      <alignment horizontal="center" vertical="center" wrapText="1"/>
      <protection locked="0"/>
    </xf>
    <xf numFmtId="164" fontId="7" fillId="0" borderId="7" xfId="6" applyNumberFormat="1" applyFont="1" applyFill="1" applyBorder="1" applyAlignment="1" applyProtection="1">
      <alignment horizontal="center" vertical="center" wrapText="1"/>
      <protection locked="0"/>
    </xf>
    <xf numFmtId="14" fontId="5" fillId="0" borderId="6" xfId="1" applyNumberFormat="1" applyFont="1" applyBorder="1" applyAlignment="1">
      <alignment horizontal="center" vertical="center" wrapText="1"/>
    </xf>
    <xf numFmtId="15" fontId="55" fillId="0" borderId="12" xfId="0" applyNumberFormat="1"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1" fontId="7" fillId="0" borderId="15" xfId="0" applyNumberFormat="1" applyFont="1" applyBorder="1" applyAlignment="1" applyProtection="1">
      <alignment horizontal="center" vertical="center" wrapText="1"/>
      <protection locked="0"/>
    </xf>
    <xf numFmtId="1" fontId="7" fillId="0" borderId="2" xfId="2" applyNumberFormat="1" applyBorder="1" applyAlignment="1">
      <alignment horizontal="center" vertical="center" wrapText="1"/>
    </xf>
    <xf numFmtId="1" fontId="7" fillId="0" borderId="12" xfId="0" applyNumberFormat="1" applyFont="1" applyBorder="1" applyAlignment="1" applyProtection="1">
      <alignment horizontal="center" vertical="center" wrapText="1"/>
      <protection locked="0"/>
    </xf>
    <xf numFmtId="1" fontId="7" fillId="0" borderId="2" xfId="0" applyNumberFormat="1" applyFont="1" applyBorder="1" applyAlignment="1">
      <alignment horizontal="center" vertical="center" wrapText="1"/>
    </xf>
    <xf numFmtId="1" fontId="55" fillId="0" borderId="12" xfId="0" applyNumberFormat="1" applyFont="1" applyBorder="1" applyAlignment="1" applyProtection="1">
      <alignment horizontal="center" vertical="center" wrapText="1"/>
      <protection locked="0"/>
    </xf>
    <xf numFmtId="0" fontId="5" fillId="0" borderId="6" xfId="0" applyFont="1" applyBorder="1" applyAlignment="1">
      <alignment horizontal="center" vertical="center"/>
    </xf>
    <xf numFmtId="1" fontId="7" fillId="0" borderId="13" xfId="0" applyNumberFormat="1" applyFont="1" applyBorder="1" applyAlignment="1" applyProtection="1">
      <alignment horizontal="center" vertical="center" wrapText="1"/>
      <protection locked="0"/>
    </xf>
    <xf numFmtId="1" fontId="55" fillId="0" borderId="2" xfId="0" applyNumberFormat="1" applyFont="1" applyBorder="1" applyAlignment="1" applyProtection="1">
      <alignment horizontal="center" vertical="center" wrapText="1"/>
      <protection locked="0"/>
    </xf>
    <xf numFmtId="169" fontId="7" fillId="0" borderId="2" xfId="0" applyNumberFormat="1" applyFont="1" applyBorder="1" applyAlignment="1" applyProtection="1">
      <alignment horizontal="center" vertical="center" wrapText="1"/>
      <protection locked="0"/>
    </xf>
    <xf numFmtId="14" fontId="7" fillId="0" borderId="2" xfId="0" applyNumberFormat="1" applyFont="1" applyBorder="1" applyAlignment="1">
      <alignment horizontal="left" vertical="center" wrapText="1"/>
    </xf>
    <xf numFmtId="49" fontId="5" fillId="0" borderId="0" xfId="0" applyNumberFormat="1" applyFont="1" applyAlignment="1" applyProtection="1">
      <alignment horizontal="center" vertical="center" wrapText="1"/>
      <protection locked="0"/>
    </xf>
    <xf numFmtId="1" fontId="7" fillId="0" borderId="12" xfId="0" applyNumberFormat="1" applyFont="1" applyBorder="1" applyAlignment="1">
      <alignment horizontal="center" vertical="center" wrapText="1"/>
    </xf>
    <xf numFmtId="0" fontId="26" fillId="0" borderId="1" xfId="0" applyFont="1" applyBorder="1" applyAlignment="1">
      <alignment horizontal="center" vertical="center"/>
    </xf>
    <xf numFmtId="49" fontId="5" fillId="0" borderId="5" xfId="0" applyNumberFormat="1" applyFont="1" applyBorder="1" applyAlignment="1" applyProtection="1">
      <alignment horizontal="center" vertical="center"/>
      <protection locked="0"/>
    </xf>
    <xf numFmtId="164" fontId="55" fillId="0" borderId="0" xfId="6" applyNumberFormat="1" applyFont="1" applyFill="1" applyBorder="1" applyAlignment="1" applyProtection="1">
      <alignment horizontal="left" vertical="center" wrapText="1"/>
      <protection locked="0"/>
    </xf>
    <xf numFmtId="164" fontId="7" fillId="0" borderId="3" xfId="6" applyNumberFormat="1" applyFont="1" applyFill="1" applyBorder="1" applyAlignment="1" applyProtection="1">
      <alignment horizontal="right" vertical="center" wrapText="1"/>
      <protection locked="0"/>
    </xf>
    <xf numFmtId="164" fontId="7" fillId="0" borderId="21" xfId="6" applyNumberFormat="1" applyFont="1" applyFill="1" applyBorder="1" applyAlignment="1" applyProtection="1">
      <alignment horizontal="right" vertical="center" wrapText="1"/>
      <protection locked="0"/>
    </xf>
    <xf numFmtId="164" fontId="55" fillId="0" borderId="3" xfId="6" applyNumberFormat="1" applyFont="1" applyFill="1" applyBorder="1" applyAlignment="1" applyProtection="1">
      <alignment horizontal="left" vertical="center" wrapText="1"/>
      <protection locked="0"/>
    </xf>
    <xf numFmtId="168" fontId="64" fillId="0" borderId="1" xfId="6" applyNumberFormat="1" applyFont="1" applyBorder="1" applyAlignment="1" applyProtection="1">
      <alignment horizontal="center" vertical="center" wrapText="1"/>
      <protection locked="0"/>
    </xf>
    <xf numFmtId="164" fontId="7" fillId="0" borderId="12" xfId="6" applyNumberFormat="1" applyFont="1" applyFill="1" applyBorder="1" applyAlignment="1" applyProtection="1">
      <alignment horizontal="right" vertical="center" wrapText="1"/>
      <protection locked="0"/>
    </xf>
    <xf numFmtId="164" fontId="7" fillId="0" borderId="3" xfId="6" applyNumberFormat="1" applyFont="1" applyFill="1" applyBorder="1" applyAlignment="1" applyProtection="1">
      <alignment horizontal="center" vertical="center" wrapText="1"/>
      <protection locked="0"/>
    </xf>
    <xf numFmtId="164" fontId="7" fillId="0" borderId="3" xfId="6" applyNumberFormat="1" applyFont="1" applyFill="1" applyBorder="1" applyAlignment="1">
      <alignment horizontal="center" vertical="center" wrapText="1"/>
    </xf>
    <xf numFmtId="0" fontId="34" fillId="0" borderId="3" xfId="0" applyFont="1" applyBorder="1" applyAlignment="1">
      <alignment horizontal="center" vertical="center"/>
    </xf>
    <xf numFmtId="164" fontId="5" fillId="0" borderId="1" xfId="1" applyNumberFormat="1" applyFont="1" applyBorder="1" applyAlignment="1" applyProtection="1">
      <alignment horizontal="right" vertical="center" wrapText="1"/>
      <protection locked="0"/>
    </xf>
    <xf numFmtId="168" fontId="5" fillId="0" borderId="6" xfId="0" applyNumberFormat="1" applyFont="1" applyBorder="1" applyAlignment="1">
      <alignment horizontal="center" vertical="center" wrapText="1"/>
    </xf>
    <xf numFmtId="164" fontId="7" fillId="0" borderId="16" xfId="6" applyNumberFormat="1" applyFont="1" applyFill="1" applyBorder="1" applyAlignment="1" applyProtection="1">
      <alignment horizontal="right" vertical="center" wrapText="1"/>
      <protection locked="0"/>
    </xf>
    <xf numFmtId="168" fontId="5" fillId="0" borderId="18" xfId="6" applyNumberFormat="1" applyFont="1" applyFill="1" applyBorder="1" applyAlignment="1" applyProtection="1">
      <alignment horizontal="center" vertical="center" wrapText="1"/>
      <protection locked="0"/>
    </xf>
    <xf numFmtId="168" fontId="5" fillId="0" borderId="6" xfId="0" applyNumberFormat="1" applyFont="1" applyBorder="1" applyAlignment="1">
      <alignment horizontal="center" vertical="top" wrapText="1"/>
    </xf>
    <xf numFmtId="14" fontId="55" fillId="0" borderId="3" xfId="0" applyNumberFormat="1" applyFont="1" applyBorder="1" applyAlignment="1" applyProtection="1">
      <alignment horizontal="left" vertical="center" wrapText="1"/>
      <protection locked="0"/>
    </xf>
    <xf numFmtId="14" fontId="7" fillId="0" borderId="3" xfId="0" applyNumberFormat="1" applyFont="1" applyBorder="1" applyAlignment="1" applyProtection="1">
      <alignment horizontal="left" vertical="center" wrapText="1"/>
      <protection locked="0"/>
    </xf>
    <xf numFmtId="14" fontId="7" fillId="0" borderId="3" xfId="0" applyNumberFormat="1" applyFont="1" applyBorder="1" applyAlignment="1" applyProtection="1">
      <alignment horizontal="center" vertical="center" wrapText="1"/>
      <protection locked="0"/>
    </xf>
    <xf numFmtId="14" fontId="7" fillId="0" borderId="7" xfId="0" applyNumberFormat="1" applyFont="1" applyBorder="1" applyAlignment="1" applyProtection="1">
      <alignment horizontal="left" vertical="center" wrapText="1"/>
      <protection locked="0"/>
    </xf>
    <xf numFmtId="0" fontId="7" fillId="0" borderId="3" xfId="2" applyBorder="1" applyAlignment="1">
      <alignment horizontal="left" vertical="center" wrapText="1"/>
    </xf>
    <xf numFmtId="14" fontId="55" fillId="0" borderId="8" xfId="0" applyNumberFormat="1" applyFont="1" applyBorder="1" applyAlignment="1" applyProtection="1">
      <alignment horizontal="left" vertical="center" wrapText="1"/>
      <protection locked="0"/>
    </xf>
    <xf numFmtId="1" fontId="7" fillId="0" borderId="3" xfId="0" applyNumberFormat="1" applyFont="1" applyBorder="1" applyAlignment="1">
      <alignment horizontal="center" vertical="center" wrapText="1"/>
    </xf>
    <xf numFmtId="14" fontId="55" fillId="0" borderId="3" xfId="0" applyNumberFormat="1" applyFont="1" applyBorder="1" applyAlignment="1" applyProtection="1">
      <alignment horizontal="center" vertical="center" wrapText="1"/>
      <protection locked="0"/>
    </xf>
    <xf numFmtId="14" fontId="7" fillId="0" borderId="12" xfId="0" applyNumberFormat="1" applyFont="1" applyBorder="1" applyAlignment="1" applyProtection="1">
      <alignment horizontal="left" vertical="center" wrapText="1"/>
      <protection locked="0"/>
    </xf>
    <xf numFmtId="14" fontId="5" fillId="4" borderId="3" xfId="0" applyNumberFormat="1" applyFont="1" applyFill="1" applyBorder="1" applyAlignment="1" applyProtection="1">
      <alignment horizontal="center" vertical="center" wrapText="1"/>
      <protection locked="0"/>
    </xf>
    <xf numFmtId="14" fontId="7" fillId="0" borderId="13" xfId="0" applyNumberFormat="1" applyFont="1" applyBorder="1" applyAlignment="1" applyProtection="1">
      <alignment horizontal="left" vertical="center" wrapText="1"/>
      <protection locked="0"/>
    </xf>
    <xf numFmtId="0" fontId="5" fillId="0" borderId="6" xfId="0" applyFont="1" applyBorder="1" applyAlignment="1" applyProtection="1">
      <alignment horizontal="center" vertical="top" wrapText="1"/>
      <protection locked="0"/>
    </xf>
    <xf numFmtId="14" fontId="7" fillId="0" borderId="8" xfId="0" applyNumberFormat="1" applyFont="1" applyBorder="1" applyAlignment="1" applyProtection="1">
      <alignment horizontal="left" vertical="center" wrapText="1"/>
      <protection locked="0"/>
    </xf>
    <xf numFmtId="14" fontId="7" fillId="0" borderId="2" xfId="0" applyNumberFormat="1" applyFont="1" applyBorder="1" applyAlignment="1" applyProtection="1">
      <alignment horizontal="center" vertical="center" wrapText="1"/>
      <protection locked="0"/>
    </xf>
    <xf numFmtId="0" fontId="5" fillId="15" borderId="1" xfId="0" applyFont="1" applyFill="1" applyBorder="1" applyAlignment="1">
      <alignment horizontal="center" vertical="center"/>
    </xf>
    <xf numFmtId="14" fontId="55" fillId="0" borderId="2" xfId="0" applyNumberFormat="1" applyFont="1" applyBorder="1" applyAlignment="1" applyProtection="1">
      <alignment horizontal="center" vertical="center" wrapText="1"/>
      <protection locked="0"/>
    </xf>
    <xf numFmtId="165" fontId="7" fillId="0" borderId="2" xfId="2" applyNumberFormat="1" applyBorder="1" applyAlignment="1">
      <alignment horizontal="center" vertical="center" wrapText="1"/>
    </xf>
    <xf numFmtId="1" fontId="7" fillId="0" borderId="2" xfId="0" applyNumberFormat="1" applyFont="1" applyBorder="1" applyAlignment="1" applyProtection="1">
      <alignment horizontal="left" vertical="center" wrapText="1"/>
      <protection locked="0"/>
    </xf>
    <xf numFmtId="14" fontId="55" fillId="0" borderId="12" xfId="0" applyNumberFormat="1" applyFont="1" applyBorder="1" applyAlignment="1" applyProtection="1">
      <alignment horizontal="center" vertical="center" wrapText="1"/>
      <protection locked="0"/>
    </xf>
    <xf numFmtId="0" fontId="5" fillId="15" borderId="1" xfId="1" applyFont="1" applyFill="1" applyBorder="1" applyAlignment="1">
      <alignment horizontal="center" vertical="center" wrapText="1"/>
    </xf>
    <xf numFmtId="0" fontId="7" fillId="0" borderId="2" xfId="0" applyFont="1" applyBorder="1" applyAlignment="1">
      <alignment horizontal="center" vertical="center" wrapText="1"/>
    </xf>
    <xf numFmtId="0" fontId="5" fillId="15" borderId="1" xfId="0" applyFont="1" applyFill="1" applyBorder="1" applyAlignment="1">
      <alignment horizontal="center" vertical="top" wrapText="1"/>
    </xf>
    <xf numFmtId="0" fontId="5" fillId="20" borderId="1" xfId="1" applyFont="1" applyFill="1" applyBorder="1" applyAlignment="1">
      <alignment horizontal="center" vertical="center" wrapText="1"/>
    </xf>
    <xf numFmtId="164" fontId="7" fillId="0" borderId="2" xfId="6" applyNumberFormat="1" applyFont="1" applyFill="1" applyBorder="1" applyAlignment="1">
      <alignment horizontal="center" vertical="center" wrapText="1"/>
    </xf>
    <xf numFmtId="14" fontId="7" fillId="0" borderId="13" xfId="0" applyNumberFormat="1" applyFont="1" applyBorder="1" applyAlignment="1" applyProtection="1">
      <alignment horizontal="center" vertical="center" wrapText="1"/>
      <protection locked="0"/>
    </xf>
    <xf numFmtId="14" fontId="7" fillId="0" borderId="10" xfId="0" applyNumberFormat="1" applyFont="1" applyBorder="1" applyAlignment="1" applyProtection="1">
      <alignment horizontal="center" vertical="center" wrapText="1"/>
      <protection locked="0"/>
    </xf>
    <xf numFmtId="14" fontId="7" fillId="0" borderId="20" xfId="0" applyNumberFormat="1" applyFont="1" applyBorder="1" applyAlignment="1" applyProtection="1">
      <alignment horizontal="center" vertical="center" wrapText="1"/>
      <protection locked="0"/>
    </xf>
    <xf numFmtId="0" fontId="7" fillId="0" borderId="13" xfId="2" applyBorder="1" applyAlignment="1">
      <alignment horizontal="left" vertical="center" wrapText="1"/>
    </xf>
    <xf numFmtId="0" fontId="34" fillId="0" borderId="0" xfId="0" applyFont="1" applyAlignment="1">
      <alignment horizontal="center" vertical="center"/>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protection locked="0"/>
    </xf>
    <xf numFmtId="0" fontId="0" fillId="0" borderId="7" xfId="0" applyBorder="1"/>
    <xf numFmtId="0" fontId="15" fillId="0" borderId="0" xfId="0" applyFont="1" applyAlignment="1" applyProtection="1">
      <alignment horizontal="center" vertical="center" wrapText="1"/>
      <protection locked="0"/>
    </xf>
    <xf numFmtId="0" fontId="0" fillId="0" borderId="14" xfId="0" applyBorder="1"/>
    <xf numFmtId="0" fontId="5" fillId="0" borderId="0" xfId="0" applyFont="1" applyAlignment="1" applyProtection="1">
      <alignment horizontal="center" wrapText="1"/>
      <protection locked="0"/>
    </xf>
    <xf numFmtId="0" fontId="0" fillId="0" borderId="26" xfId="0" applyBorder="1"/>
    <xf numFmtId="0" fontId="5" fillId="10" borderId="0" xfId="0" applyFont="1" applyFill="1" applyAlignment="1" applyProtection="1">
      <alignment horizontal="center" vertical="center" wrapText="1"/>
      <protection locked="0"/>
    </xf>
    <xf numFmtId="0" fontId="0" fillId="0" borderId="16" xfId="0" applyBorder="1"/>
    <xf numFmtId="0" fontId="5" fillId="9" borderId="0" xfId="0" applyFont="1" applyFill="1" applyAlignment="1" applyProtection="1">
      <alignment horizontal="left" vertical="center" wrapText="1"/>
      <protection locked="0"/>
    </xf>
    <xf numFmtId="0" fontId="5" fillId="14" borderId="0" xfId="0" applyFont="1" applyFill="1" applyAlignment="1" applyProtection="1">
      <alignment vertical="center" wrapText="1"/>
      <protection locked="0"/>
    </xf>
    <xf numFmtId="167" fontId="64" fillId="0" borderId="0" xfId="0" applyNumberFormat="1" applyFont="1" applyAlignment="1">
      <alignment horizontal="center" vertical="center"/>
    </xf>
    <xf numFmtId="167" fontId="5" fillId="14" borderId="2" xfId="0" applyNumberFormat="1" applyFont="1" applyFill="1" applyBorder="1" applyAlignment="1">
      <alignment horizontal="left" vertical="top"/>
    </xf>
    <xf numFmtId="167" fontId="5" fillId="14" borderId="0" xfId="0" applyNumberFormat="1" applyFont="1" applyFill="1" applyAlignment="1">
      <alignment horizontal="left" vertical="top"/>
    </xf>
    <xf numFmtId="0" fontId="0" fillId="9" borderId="0" xfId="0" applyFill="1"/>
    <xf numFmtId="0" fontId="5" fillId="0" borderId="0" xfId="1" applyFont="1" applyAlignment="1">
      <alignment vertical="top" wrapText="1"/>
    </xf>
    <xf numFmtId="0" fontId="5" fillId="14" borderId="0" xfId="0" applyFont="1" applyFill="1" applyAlignment="1" applyProtection="1">
      <alignment horizontal="left" vertical="top" wrapText="1"/>
      <protection locked="0"/>
    </xf>
    <xf numFmtId="0" fontId="5" fillId="9" borderId="0" xfId="0" applyFont="1" applyFill="1" applyAlignment="1" applyProtection="1">
      <alignment vertical="center" wrapText="1"/>
      <protection locked="0"/>
    </xf>
    <xf numFmtId="167" fontId="5" fillId="0" borderId="0" xfId="0" applyNumberFormat="1" applyFont="1" applyAlignment="1">
      <alignment horizontal="left" vertical="top"/>
    </xf>
    <xf numFmtId="14" fontId="5" fillId="0" borderId="0" xfId="0" applyNumberFormat="1" applyFont="1" applyAlignment="1" applyProtection="1">
      <alignment horizontal="center" wrapText="1"/>
      <protection locked="0"/>
    </xf>
    <xf numFmtId="167" fontId="5" fillId="0" borderId="0" xfId="0" applyNumberFormat="1" applyFont="1" applyAlignment="1">
      <alignment horizontal="center" vertical="center"/>
    </xf>
    <xf numFmtId="165" fontId="64" fillId="0" borderId="0" xfId="0" applyNumberFormat="1" applyFont="1" applyAlignment="1" applyProtection="1">
      <alignment horizontal="left" vertical="center" wrapText="1"/>
      <protection locked="0"/>
    </xf>
    <xf numFmtId="14" fontId="5" fillId="2" borderId="0" xfId="0" applyNumberFormat="1" applyFont="1" applyFill="1" applyAlignment="1" applyProtection="1">
      <alignment horizontal="center" vertical="center" wrapText="1"/>
      <protection locked="0"/>
    </xf>
    <xf numFmtId="167" fontId="5" fillId="0" borderId="0" xfId="0" applyNumberFormat="1" applyFont="1" applyAlignment="1">
      <alignment vertical="center"/>
    </xf>
    <xf numFmtId="0" fontId="7" fillId="0" borderId="0" xfId="0" applyFont="1"/>
    <xf numFmtId="14" fontId="5" fillId="0" borderId="0" xfId="0" applyNumberFormat="1" applyFont="1" applyAlignment="1">
      <alignment horizontal="center" vertical="center" wrapText="1"/>
    </xf>
    <xf numFmtId="0" fontId="5" fillId="0" borderId="2" xfId="0" applyFont="1" applyBorder="1" applyAlignment="1" applyProtection="1">
      <alignment horizontal="center"/>
      <protection locked="0"/>
    </xf>
    <xf numFmtId="49" fontId="5" fillId="0" borderId="0" xfId="0" applyNumberFormat="1" applyFont="1" applyAlignment="1" applyProtection="1">
      <alignment horizontal="left" vertical="center" wrapText="1"/>
      <protection locked="0"/>
    </xf>
    <xf numFmtId="49" fontId="5" fillId="2" borderId="0" xfId="0" applyNumberFormat="1" applyFont="1" applyFill="1" applyAlignment="1" applyProtection="1">
      <alignment horizontal="left" vertical="center" wrapText="1"/>
      <protection locked="0"/>
    </xf>
    <xf numFmtId="0" fontId="5" fillId="2" borderId="0" xfId="0" quotePrefix="1" applyFont="1" applyFill="1" applyAlignment="1" applyProtection="1">
      <alignment horizontal="left" vertical="center" wrapText="1"/>
      <protection locked="0"/>
    </xf>
    <xf numFmtId="49" fontId="5" fillId="0" borderId="7" xfId="0" applyNumberFormat="1" applyFont="1" applyBorder="1" applyAlignment="1" applyProtection="1">
      <alignment horizontal="left" vertical="center" wrapText="1"/>
      <protection locked="0"/>
    </xf>
    <xf numFmtId="0" fontId="64" fillId="0" borderId="0" xfId="0" applyFont="1" applyAlignment="1">
      <alignment horizontal="left" vertical="center" wrapText="1"/>
    </xf>
    <xf numFmtId="49" fontId="16" fillId="0" borderId="0" xfId="0" applyNumberFormat="1" applyFont="1" applyAlignment="1" applyProtection="1">
      <alignment horizontal="left" vertical="center" wrapText="1"/>
      <protection locked="0"/>
    </xf>
    <xf numFmtId="14" fontId="0" fillId="0" borderId="0" xfId="0" applyNumberFormat="1"/>
    <xf numFmtId="49" fontId="5" fillId="0" borderId="0" xfId="0" applyNumberFormat="1" applyFont="1" applyAlignment="1" applyProtection="1">
      <alignment horizontal="left" wrapText="1"/>
      <protection locked="0"/>
    </xf>
    <xf numFmtId="0" fontId="63" fillId="0" borderId="0" xfId="0" applyFont="1" applyAlignment="1">
      <alignment horizontal="left" vertical="center" wrapText="1"/>
    </xf>
    <xf numFmtId="0" fontId="4" fillId="0" borderId="1" xfId="0" applyFont="1" applyBorder="1" applyAlignment="1" applyProtection="1">
      <alignment vertical="center" wrapText="1"/>
      <protection locked="0"/>
    </xf>
    <xf numFmtId="0" fontId="0" fillId="0" borderId="20" xfId="0" applyBorder="1"/>
    <xf numFmtId="0" fontId="5" fillId="4" borderId="0" xfId="0" applyFont="1" applyFill="1" applyAlignment="1" applyProtection="1">
      <alignment horizontal="center" vertical="center"/>
      <protection locked="0"/>
    </xf>
    <xf numFmtId="0" fontId="8" fillId="0" borderId="3" xfId="0" applyFont="1" applyBorder="1" applyAlignment="1" applyProtection="1">
      <alignment vertical="center"/>
      <protection locked="0"/>
    </xf>
    <xf numFmtId="0" fontId="8" fillId="0" borderId="3" xfId="0" applyFont="1" applyBorder="1" applyAlignment="1" applyProtection="1">
      <alignment vertical="center" wrapText="1"/>
      <protection locked="0"/>
    </xf>
    <xf numFmtId="0" fontId="5" fillId="7" borderId="0" xfId="0" applyFont="1" applyFill="1" applyAlignment="1" applyProtection="1">
      <alignment horizontal="center" vertical="center"/>
      <protection locked="0"/>
    </xf>
    <xf numFmtId="14" fontId="5" fillId="14" borderId="3" xfId="0" applyNumberFormat="1" applyFont="1" applyFill="1" applyBorder="1" applyAlignment="1" applyProtection="1">
      <alignment horizontal="left" vertical="top" wrapText="1"/>
      <protection locked="0"/>
    </xf>
    <xf numFmtId="164" fontId="5" fillId="0" borderId="0" xfId="0" applyNumberFormat="1" applyFont="1" applyAlignment="1" applyProtection="1">
      <alignment horizontal="right" vertical="center" wrapText="1"/>
      <protection locked="0"/>
    </xf>
    <xf numFmtId="168" fontId="5" fillId="2" borderId="0" xfId="0" applyNumberFormat="1" applyFont="1" applyFill="1" applyAlignment="1" applyProtection="1">
      <alignment horizontal="center" vertical="center"/>
      <protection locked="0"/>
    </xf>
    <xf numFmtId="168" fontId="5" fillId="2" borderId="0" xfId="0" applyNumberFormat="1" applyFont="1" applyFill="1" applyAlignment="1" applyProtection="1">
      <alignment horizontal="center" vertical="center" wrapText="1"/>
      <protection locked="0"/>
    </xf>
    <xf numFmtId="6" fontId="5" fillId="0" borderId="0" xfId="0" applyNumberFormat="1" applyFont="1" applyAlignment="1">
      <alignment horizontal="center" vertical="center"/>
    </xf>
    <xf numFmtId="0" fontId="0" fillId="0" borderId="2" xfId="0" applyBorder="1" applyAlignment="1">
      <alignment vertical="center"/>
    </xf>
    <xf numFmtId="167" fontId="5" fillId="0" borderId="0" xfId="0" applyNumberFormat="1" applyFont="1" applyAlignment="1" applyProtection="1">
      <alignment horizontal="center" vertical="center" wrapText="1"/>
      <protection locked="0"/>
    </xf>
    <xf numFmtId="6" fontId="5" fillId="0" borderId="2" xfId="0" applyNumberFormat="1" applyFont="1" applyBorder="1" applyAlignment="1" applyProtection="1">
      <alignment horizontal="center" vertical="center"/>
      <protection locked="0"/>
    </xf>
    <xf numFmtId="6" fontId="5" fillId="0" borderId="0" xfId="0" applyNumberFormat="1" applyFont="1" applyAlignment="1" applyProtection="1">
      <alignment horizontal="center" vertical="center" wrapText="1"/>
      <protection locked="0"/>
    </xf>
    <xf numFmtId="164" fontId="5" fillId="0" borderId="2" xfId="0" applyNumberFormat="1" applyFont="1" applyBorder="1" applyAlignment="1" applyProtection="1">
      <alignment horizontal="right" vertical="center"/>
      <protection locked="0"/>
    </xf>
    <xf numFmtId="0" fontId="5" fillId="17" borderId="2" xfId="0" applyFont="1" applyFill="1" applyBorder="1" applyAlignment="1">
      <alignment horizontal="left" vertical="top"/>
    </xf>
    <xf numFmtId="168" fontId="10" fillId="0" borderId="0" xfId="6" applyNumberFormat="1" applyFont="1" applyFill="1" applyBorder="1" applyAlignment="1" applyProtection="1">
      <alignment horizontal="center" vertical="center" wrapText="1"/>
      <protection locked="0"/>
    </xf>
    <xf numFmtId="168" fontId="14" fillId="0" borderId="0" xfId="0" applyNumberFormat="1" applyFont="1" applyAlignment="1" applyProtection="1">
      <alignment horizontal="center" vertical="center" wrapText="1"/>
      <protection locked="0"/>
    </xf>
    <xf numFmtId="168" fontId="5" fillId="0" borderId="0" xfId="6" applyNumberFormat="1" applyFont="1" applyFill="1" applyBorder="1" applyAlignment="1" applyProtection="1">
      <alignment horizontal="center" vertical="center"/>
      <protection locked="0"/>
    </xf>
    <xf numFmtId="167" fontId="5" fillId="2" borderId="0" xfId="0" applyNumberFormat="1" applyFont="1" applyFill="1" applyAlignment="1" applyProtection="1">
      <alignment horizontal="center" vertical="center" wrapText="1"/>
      <protection locked="0"/>
    </xf>
    <xf numFmtId="167" fontId="5" fillId="0" borderId="2" xfId="0" applyNumberFormat="1" applyFont="1" applyBorder="1" applyAlignment="1" applyProtection="1">
      <alignment horizontal="center"/>
      <protection locked="0"/>
    </xf>
    <xf numFmtId="168" fontId="5" fillId="0" borderId="0" xfId="0" applyNumberFormat="1" applyFont="1" applyAlignment="1" applyProtection="1">
      <alignment horizontal="left" vertical="center" wrapText="1"/>
      <protection locked="0"/>
    </xf>
    <xf numFmtId="168" fontId="5" fillId="0" borderId="0" xfId="0" applyNumberFormat="1" applyFont="1" applyAlignment="1" applyProtection="1">
      <alignment horizontal="center" wrapText="1"/>
      <protection locked="0"/>
    </xf>
    <xf numFmtId="8" fontId="5" fillId="0" borderId="2" xfId="0" applyNumberFormat="1" applyFont="1" applyBorder="1" applyAlignment="1" applyProtection="1">
      <alignment horizontal="center" vertical="center"/>
      <protection locked="0"/>
    </xf>
    <xf numFmtId="14" fontId="64" fillId="0" borderId="4" xfId="0" applyNumberFormat="1" applyFont="1" applyBorder="1" applyAlignment="1" applyProtection="1">
      <alignment horizontal="center" vertical="center" wrapText="1"/>
      <protection locked="0"/>
    </xf>
    <xf numFmtId="14" fontId="64" fillId="2" borderId="12" xfId="2" applyNumberFormat="1" applyFont="1" applyFill="1" applyBorder="1" applyAlignment="1">
      <alignment horizontal="center" vertical="center" wrapText="1"/>
    </xf>
    <xf numFmtId="14" fontId="63" fillId="0" borderId="6" xfId="0" applyNumberFormat="1" applyFont="1" applyBorder="1" applyAlignment="1">
      <alignment horizontal="center" vertical="center"/>
    </xf>
    <xf numFmtId="0" fontId="64" fillId="0" borderId="10" xfId="0" applyFont="1" applyBorder="1" applyAlignment="1" applyProtection="1">
      <alignment horizontal="center" vertical="center" wrapText="1"/>
      <protection locked="0"/>
    </xf>
    <xf numFmtId="0" fontId="64" fillId="0" borderId="15" xfId="0" applyFont="1" applyBorder="1" applyAlignment="1" applyProtection="1">
      <alignment horizontal="center" vertical="center" wrapText="1"/>
      <protection locked="0"/>
    </xf>
    <xf numFmtId="14" fontId="0" fillId="0" borderId="12" xfId="0" applyNumberFormat="1" applyBorder="1"/>
    <xf numFmtId="14" fontId="0" fillId="14" borderId="0" xfId="0" applyNumberFormat="1" applyFill="1"/>
    <xf numFmtId="14" fontId="5" fillId="0" borderId="0" xfId="0" applyNumberFormat="1" applyFont="1" applyAlignment="1" applyProtection="1">
      <alignment horizontal="left" vertical="center"/>
      <protection locked="0"/>
    </xf>
    <xf numFmtId="14" fontId="5" fillId="0" borderId="0" xfId="0" applyNumberFormat="1" applyFont="1" applyAlignment="1" applyProtection="1">
      <alignment vertical="center"/>
      <protection locked="0"/>
    </xf>
    <xf numFmtId="14" fontId="0" fillId="0" borderId="0" xfId="0" applyNumberFormat="1" applyAlignment="1">
      <alignment vertical="center"/>
    </xf>
    <xf numFmtId="14" fontId="5" fillId="0" borderId="0" xfId="0" applyNumberFormat="1" applyFont="1" applyAlignment="1">
      <alignment horizontal="center"/>
    </xf>
    <xf numFmtId="14" fontId="5" fillId="0" borderId="0" xfId="0" applyNumberFormat="1" applyFont="1" applyAlignment="1">
      <alignment horizontal="center" vertical="center"/>
    </xf>
    <xf numFmtId="14" fontId="0" fillId="4" borderId="0" xfId="0" applyNumberFormat="1" applyFill="1"/>
    <xf numFmtId="14" fontId="5" fillId="14" borderId="0" xfId="0" applyNumberFormat="1" applyFont="1" applyFill="1" applyAlignment="1">
      <alignment vertical="top"/>
    </xf>
    <xf numFmtId="14" fontId="5" fillId="0" borderId="0" xfId="0" applyNumberFormat="1" applyFont="1" applyAlignment="1">
      <alignment horizontal="left" vertical="top"/>
    </xf>
    <xf numFmtId="14" fontId="0" fillId="0" borderId="0" xfId="0" applyNumberFormat="1" applyProtection="1">
      <protection locked="0"/>
    </xf>
    <xf numFmtId="14" fontId="5" fillId="2" borderId="0" xfId="0" applyNumberFormat="1" applyFont="1" applyFill="1" applyAlignment="1">
      <alignment vertical="top"/>
    </xf>
    <xf numFmtId="14" fontId="0" fillId="17" borderId="0" xfId="0" applyNumberFormat="1" applyFill="1"/>
    <xf numFmtId="14" fontId="5" fillId="4" borderId="0" xfId="0" applyNumberFormat="1" applyFont="1" applyFill="1" applyAlignment="1">
      <alignment vertical="top"/>
    </xf>
    <xf numFmtId="14" fontId="8" fillId="0" borderId="0" xfId="0" applyNumberFormat="1" applyFont="1" applyAlignment="1" applyProtection="1">
      <alignment vertical="center"/>
      <protection locked="0"/>
    </xf>
    <xf numFmtId="14" fontId="0" fillId="2" borderId="0" xfId="0" applyNumberFormat="1" applyFill="1"/>
    <xf numFmtId="14" fontId="9" fillId="0" borderId="0" xfId="0" applyNumberFormat="1" applyFont="1" applyAlignment="1">
      <alignment vertical="center"/>
    </xf>
    <xf numFmtId="14" fontId="0" fillId="0" borderId="1" xfId="0" applyNumberFormat="1" applyBorder="1"/>
    <xf numFmtId="14" fontId="5" fillId="0" borderId="1" xfId="0" applyNumberFormat="1" applyFont="1" applyBorder="1" applyAlignment="1" applyProtection="1">
      <alignment horizontal="left" vertical="center"/>
      <protection locked="0"/>
    </xf>
    <xf numFmtId="0" fontId="64" fillId="10" borderId="12" xfId="2" applyFont="1" applyFill="1" applyBorder="1" applyAlignment="1">
      <alignment horizontal="center" vertical="center" wrapText="1"/>
    </xf>
    <xf numFmtId="0" fontId="64" fillId="10" borderId="12" xfId="0" applyFont="1" applyFill="1" applyBorder="1" applyAlignment="1">
      <alignment horizontal="center" vertical="center" wrapText="1"/>
    </xf>
    <xf numFmtId="0" fontId="64" fillId="23" borderId="1" xfId="0" applyFont="1" applyFill="1" applyBorder="1" applyAlignment="1" applyProtection="1">
      <alignment horizontal="left" vertical="center" wrapText="1"/>
      <protection locked="0"/>
    </xf>
    <xf numFmtId="14" fontId="64" fillId="23" borderId="1" xfId="0" applyNumberFormat="1" applyFont="1" applyFill="1" applyBorder="1" applyAlignment="1" applyProtection="1">
      <alignment horizontal="center" vertical="center" wrapText="1"/>
      <protection locked="0"/>
    </xf>
    <xf numFmtId="0" fontId="64" fillId="23" borderId="1" xfId="0" applyFont="1" applyFill="1" applyBorder="1" applyAlignment="1" applyProtection="1">
      <alignment horizontal="center" vertical="center" wrapText="1"/>
      <protection locked="0"/>
    </xf>
    <xf numFmtId="0" fontId="63" fillId="23" borderId="0" xfId="0" applyFont="1" applyFill="1"/>
    <xf numFmtId="0" fontId="64" fillId="23" borderId="1" xfId="0" applyFont="1" applyFill="1" applyBorder="1" applyAlignment="1">
      <alignment horizontal="center" vertical="center"/>
    </xf>
    <xf numFmtId="14" fontId="64" fillId="23" borderId="1" xfId="0" applyNumberFormat="1" applyFont="1" applyFill="1" applyBorder="1" applyAlignment="1">
      <alignment horizontal="center" vertical="center" wrapText="1"/>
    </xf>
    <xf numFmtId="14" fontId="64" fillId="23" borderId="1" xfId="1" applyNumberFormat="1" applyFont="1" applyFill="1" applyBorder="1" applyAlignment="1">
      <alignment horizontal="center" vertical="center" wrapText="1"/>
    </xf>
    <xf numFmtId="0" fontId="64" fillId="23" borderId="1" xfId="1" applyFont="1" applyFill="1" applyBorder="1" applyAlignment="1">
      <alignment horizontal="center" vertical="center" wrapText="1"/>
    </xf>
    <xf numFmtId="0" fontId="64" fillId="23" borderId="1" xfId="0" applyFont="1" applyFill="1" applyBorder="1" applyAlignment="1">
      <alignment horizontal="center" vertical="center" wrapText="1"/>
    </xf>
    <xf numFmtId="168" fontId="64" fillId="23" borderId="1" xfId="0" applyNumberFormat="1" applyFont="1" applyFill="1" applyBorder="1" applyAlignment="1">
      <alignment horizontal="center" vertical="center" wrapText="1"/>
    </xf>
    <xf numFmtId="0" fontId="0" fillId="0" borderId="0" xfId="0" applyAlignment="1">
      <alignment horizontal="center" vertical="center"/>
    </xf>
    <xf numFmtId="0" fontId="13" fillId="0" borderId="0" xfId="0" applyFont="1" applyAlignment="1">
      <alignment horizontal="center" vertical="center" wrapText="1"/>
    </xf>
    <xf numFmtId="0" fontId="70" fillId="0" borderId="0" xfId="0" applyFont="1"/>
    <xf numFmtId="165" fontId="64" fillId="0" borderId="1" xfId="1" applyNumberFormat="1" applyFont="1" applyBorder="1" applyAlignment="1" applyProtection="1">
      <alignment horizontal="center" vertical="center" wrapText="1"/>
      <protection locked="0"/>
    </xf>
    <xf numFmtId="165" fontId="64" fillId="0" borderId="1" xfId="0" applyNumberFormat="1" applyFont="1" applyBorder="1" applyAlignment="1">
      <alignment horizontal="center" vertical="center"/>
    </xf>
    <xf numFmtId="165" fontId="63" fillId="0" borderId="0" xfId="0" applyNumberFormat="1" applyFont="1" applyAlignment="1">
      <alignment horizontal="center" vertical="center"/>
    </xf>
    <xf numFmtId="165" fontId="64" fillId="0" borderId="12" xfId="0" applyNumberFormat="1" applyFont="1" applyBorder="1" applyAlignment="1" applyProtection="1">
      <alignment horizontal="center" vertical="center" wrapText="1"/>
      <protection locked="0"/>
    </xf>
    <xf numFmtId="0" fontId="64" fillId="0" borderId="1" xfId="1" applyFont="1" applyBorder="1" applyAlignment="1" applyProtection="1">
      <alignment horizontal="center" vertical="center" wrapText="1"/>
      <protection locked="0"/>
    </xf>
    <xf numFmtId="49" fontId="64" fillId="0" borderId="1" xfId="1" applyNumberFormat="1" applyFont="1" applyBorder="1" applyAlignment="1" applyProtection="1">
      <alignment horizontal="center" vertical="center" wrapText="1"/>
      <protection locked="0"/>
    </xf>
    <xf numFmtId="16" fontId="63" fillId="0" borderId="1" xfId="0" applyNumberFormat="1" applyFont="1" applyBorder="1" applyAlignment="1">
      <alignment horizontal="center" vertical="center"/>
    </xf>
    <xf numFmtId="0" fontId="64" fillId="0" borderId="21" xfId="0" applyFont="1" applyBorder="1" applyAlignment="1" applyProtection="1">
      <alignment horizontal="center" vertical="center" wrapText="1"/>
      <protection locked="0"/>
    </xf>
    <xf numFmtId="0" fontId="13" fillId="24" borderId="0" xfId="0" applyFont="1" applyFill="1"/>
    <xf numFmtId="0" fontId="0" fillId="24" borderId="0" xfId="0" applyFill="1"/>
    <xf numFmtId="0" fontId="0" fillId="24" borderId="0" xfId="0" applyFill="1" applyAlignment="1">
      <alignment horizontal="center"/>
    </xf>
    <xf numFmtId="0" fontId="0" fillId="24" borderId="0" xfId="0" applyFill="1" applyAlignment="1">
      <alignment horizontal="center" vertical="center"/>
    </xf>
    <xf numFmtId="9" fontId="0" fillId="24" borderId="0" xfId="0" applyNumberFormat="1" applyFill="1" applyAlignment="1">
      <alignment horizontal="center"/>
    </xf>
    <xf numFmtId="0" fontId="70" fillId="0" borderId="29" xfId="0" applyFont="1" applyBorder="1"/>
    <xf numFmtId="0" fontId="0" fillId="0" borderId="29" xfId="0" applyBorder="1"/>
    <xf numFmtId="0" fontId="0" fillId="0" borderId="29" xfId="0" applyBorder="1" applyAlignment="1">
      <alignment horizontal="center" vertical="center"/>
    </xf>
    <xf numFmtId="0" fontId="0" fillId="0" borderId="29" xfId="0" applyBorder="1" applyAlignment="1">
      <alignment horizontal="center"/>
    </xf>
    <xf numFmtId="9" fontId="0" fillId="0" borderId="29" xfId="0" applyNumberFormat="1" applyBorder="1" applyAlignment="1">
      <alignment horizontal="center"/>
    </xf>
    <xf numFmtId="0" fontId="13" fillId="25" borderId="30" xfId="0" applyFont="1" applyFill="1" applyBorder="1"/>
    <xf numFmtId="0" fontId="0" fillId="25" borderId="32" xfId="0" applyFill="1" applyBorder="1" applyAlignment="1">
      <alignment horizontal="center"/>
    </xf>
    <xf numFmtId="0" fontId="0" fillId="0" borderId="33" xfId="0" applyBorder="1"/>
    <xf numFmtId="0" fontId="0" fillId="0" borderId="33" xfId="0" applyBorder="1" applyAlignment="1">
      <alignment horizontal="center" vertical="center"/>
    </xf>
    <xf numFmtId="0" fontId="0" fillId="0" borderId="33" xfId="0" applyBorder="1" applyAlignment="1">
      <alignment horizontal="center"/>
    </xf>
    <xf numFmtId="9" fontId="0" fillId="0" borderId="33" xfId="0" applyNumberFormat="1" applyBorder="1" applyAlignment="1">
      <alignment horizontal="center"/>
    </xf>
    <xf numFmtId="0" fontId="70" fillId="0" borderId="33" xfId="0" applyFont="1" applyBorder="1"/>
    <xf numFmtId="0" fontId="13" fillId="26" borderId="34" xfId="0" applyFont="1" applyFill="1" applyBorder="1" applyAlignment="1">
      <alignment horizontal="center" vertical="center" wrapText="1"/>
    </xf>
    <xf numFmtId="0" fontId="64" fillId="0" borderId="4" xfId="0" applyFont="1" applyBorder="1" applyAlignment="1" applyProtection="1">
      <alignment horizontal="center" vertical="center"/>
      <protection locked="0"/>
    </xf>
    <xf numFmtId="0" fontId="64" fillId="0" borderId="2" xfId="2" applyFont="1" applyBorder="1" applyAlignment="1">
      <alignment horizontal="left" vertical="top" wrapText="1"/>
    </xf>
    <xf numFmtId="0" fontId="0" fillId="25" borderId="31" xfId="0" applyFill="1" applyBorder="1" applyAlignment="1">
      <alignment horizontal="center" vertical="center"/>
    </xf>
    <xf numFmtId="9" fontId="0" fillId="25" borderId="31" xfId="0" applyNumberFormat="1" applyFill="1" applyBorder="1" applyAlignment="1">
      <alignment horizontal="center" vertical="center"/>
    </xf>
    <xf numFmtId="0" fontId="64" fillId="10" borderId="2" xfId="2" applyFont="1" applyFill="1" applyBorder="1" applyAlignment="1">
      <alignment horizontal="left" vertical="top" wrapText="1"/>
    </xf>
    <xf numFmtId="0" fontId="63" fillId="11" borderId="0" xfId="0" applyFont="1" applyFill="1"/>
    <xf numFmtId="0" fontId="64" fillId="2" borderId="4" xfId="0" applyFont="1" applyFill="1" applyBorder="1" applyAlignment="1" applyProtection="1">
      <alignment horizontal="center" vertical="center" wrapText="1"/>
      <protection locked="0"/>
    </xf>
    <xf numFmtId="0" fontId="64" fillId="0" borderId="15" xfId="0" applyFont="1" applyBorder="1" applyAlignment="1" applyProtection="1">
      <alignment horizontal="center" vertical="center"/>
      <protection locked="0"/>
    </xf>
    <xf numFmtId="0" fontId="63" fillId="0" borderId="12" xfId="0" applyFont="1" applyBorder="1"/>
    <xf numFmtId="0" fontId="64" fillId="0" borderId="12" xfId="0" applyFont="1" applyBorder="1" applyAlignment="1">
      <alignment vertical="top"/>
    </xf>
    <xf numFmtId="0" fontId="64" fillId="0" borderId="25" xfId="0" applyFont="1" applyBorder="1" applyAlignment="1" applyProtection="1">
      <alignment horizontal="center" vertical="center" wrapText="1"/>
      <protection locked="0"/>
    </xf>
    <xf numFmtId="14" fontId="64" fillId="0" borderId="8" xfId="0" applyNumberFormat="1" applyFont="1" applyBorder="1" applyAlignment="1" applyProtection="1">
      <alignment horizontal="center" vertical="center" wrapText="1"/>
      <protection locked="0"/>
    </xf>
    <xf numFmtId="0" fontId="63" fillId="0" borderId="14" xfId="0" applyFont="1" applyBorder="1" applyAlignment="1">
      <alignment horizontal="center" vertical="center"/>
    </xf>
    <xf numFmtId="0" fontId="63" fillId="0" borderId="22" xfId="0" applyFont="1" applyBorder="1" applyAlignment="1">
      <alignment horizontal="center" vertical="center"/>
    </xf>
    <xf numFmtId="0" fontId="63" fillId="0" borderId="12" xfId="0" applyFont="1" applyBorder="1" applyAlignment="1">
      <alignment horizontal="left" vertical="center" wrapText="1"/>
    </xf>
    <xf numFmtId="0" fontId="64" fillId="0" borderId="22" xfId="0" applyFont="1" applyBorder="1" applyAlignment="1" applyProtection="1">
      <alignment horizontal="center" vertical="center" wrapText="1"/>
      <protection locked="0"/>
    </xf>
    <xf numFmtId="0" fontId="0" fillId="0" borderId="34" xfId="0" applyBorder="1"/>
    <xf numFmtId="0" fontId="0" fillId="0" borderId="34" xfId="0" applyBorder="1" applyAlignment="1">
      <alignment horizontal="center" vertical="center"/>
    </xf>
    <xf numFmtId="0" fontId="0" fillId="0" borderId="34" xfId="0" applyBorder="1" applyAlignment="1">
      <alignment horizontal="center"/>
    </xf>
    <xf numFmtId="9" fontId="0" fillId="0" borderId="34" xfId="0" applyNumberFormat="1" applyBorder="1" applyAlignment="1">
      <alignment horizontal="center"/>
    </xf>
    <xf numFmtId="0" fontId="64" fillId="0" borderId="4" xfId="0" applyFont="1" applyBorder="1" applyAlignment="1">
      <alignment horizontal="center" vertical="center" wrapText="1"/>
    </xf>
    <xf numFmtId="0" fontId="64" fillId="0" borderId="23" xfId="2" applyFont="1" applyBorder="1" applyAlignment="1">
      <alignment horizontal="center" vertical="center" wrapText="1"/>
    </xf>
    <xf numFmtId="0" fontId="64" fillId="0" borderId="4" xfId="2" applyFont="1" applyBorder="1" applyAlignment="1">
      <alignment horizontal="center" vertical="center" wrapText="1"/>
    </xf>
    <xf numFmtId="0" fontId="63" fillId="0" borderId="4" xfId="0" applyFont="1" applyBorder="1" applyAlignment="1">
      <alignment horizontal="center" vertical="center"/>
    </xf>
    <xf numFmtId="167" fontId="64" fillId="0" borderId="14" xfId="0" applyNumberFormat="1" applyFont="1" applyBorder="1" applyAlignment="1" applyProtection="1">
      <alignment horizontal="center" vertical="center" wrapText="1"/>
      <protection locked="0"/>
    </xf>
    <xf numFmtId="0" fontId="64" fillId="0" borderId="15" xfId="2" applyFont="1" applyBorder="1" applyAlignment="1">
      <alignment horizontal="left" vertical="top" wrapText="1"/>
    </xf>
    <xf numFmtId="165" fontId="64" fillId="0" borderId="14" xfId="0" applyNumberFormat="1" applyFont="1" applyBorder="1" applyAlignment="1">
      <alignment horizontal="center" vertical="center" wrapText="1"/>
    </xf>
    <xf numFmtId="0" fontId="64" fillId="0" borderId="15" xfId="0" applyFont="1" applyBorder="1" applyAlignment="1" applyProtection="1">
      <alignment horizontal="left" vertical="center" wrapText="1"/>
      <protection locked="0"/>
    </xf>
    <xf numFmtId="167" fontId="64" fillId="0" borderId="4" xfId="0" applyNumberFormat="1" applyFont="1" applyBorder="1" applyAlignment="1" applyProtection="1">
      <alignment horizontal="center" vertical="center" wrapText="1"/>
      <protection locked="0"/>
    </xf>
    <xf numFmtId="0" fontId="64" fillId="0" borderId="14" xfId="2" applyFont="1" applyBorder="1" applyAlignment="1">
      <alignment horizontal="center" vertical="center" wrapText="1"/>
    </xf>
    <xf numFmtId="0" fontId="64" fillId="0" borderId="4" xfId="0" applyFont="1" applyBorder="1" applyAlignment="1" applyProtection="1">
      <alignment horizontal="left" vertical="center" wrapText="1"/>
      <protection locked="0"/>
    </xf>
    <xf numFmtId="165" fontId="64" fillId="0" borderId="4" xfId="0" applyNumberFormat="1" applyFont="1" applyBorder="1" applyAlignment="1" applyProtection="1">
      <alignment horizontal="center" vertical="center" wrapText="1"/>
      <protection locked="0"/>
    </xf>
    <xf numFmtId="165" fontId="64" fillId="0" borderId="4" xfId="0" applyNumberFormat="1" applyFont="1" applyBorder="1" applyAlignment="1">
      <alignment horizontal="center" vertical="center" wrapText="1"/>
    </xf>
    <xf numFmtId="165" fontId="64" fillId="0" borderId="4" xfId="0" applyNumberFormat="1" applyFont="1" applyBorder="1" applyAlignment="1" applyProtection="1">
      <alignment horizontal="center" vertical="center"/>
      <protection locked="0"/>
    </xf>
    <xf numFmtId="14" fontId="64" fillId="0" borderId="4" xfId="0" applyNumberFormat="1" applyFont="1" applyBorder="1" applyAlignment="1">
      <alignment horizontal="center" vertical="center" wrapText="1"/>
    </xf>
    <xf numFmtId="14" fontId="64" fillId="0" borderId="4" xfId="2" applyNumberFormat="1" applyFont="1" applyBorder="1" applyAlignment="1">
      <alignment horizontal="center" vertical="center" wrapText="1"/>
    </xf>
    <xf numFmtId="1" fontId="64" fillId="0" borderId="4" xfId="2" applyNumberFormat="1" applyFont="1" applyBorder="1" applyAlignment="1">
      <alignment horizontal="center" vertical="center" wrapText="1"/>
    </xf>
    <xf numFmtId="49" fontId="64" fillId="0" borderId="4" xfId="0" applyNumberFormat="1" applyFont="1" applyBorder="1" applyAlignment="1" applyProtection="1">
      <alignment horizontal="center" vertical="center" wrapText="1"/>
      <protection locked="0"/>
    </xf>
    <xf numFmtId="1" fontId="64" fillId="0" borderId="13" xfId="2" applyNumberFormat="1" applyFont="1" applyBorder="1" applyAlignment="1">
      <alignment horizontal="center" vertical="center" wrapText="1"/>
    </xf>
    <xf numFmtId="0" fontId="64" fillId="0" borderId="1" xfId="6" applyNumberFormat="1" applyFont="1" applyFill="1" applyBorder="1" applyAlignment="1">
      <alignment horizontal="center" vertical="center" wrapText="1"/>
    </xf>
    <xf numFmtId="0" fontId="64" fillId="12" borderId="4" xfId="0" applyFont="1" applyFill="1" applyBorder="1" applyAlignment="1" applyProtection="1">
      <alignment horizontal="center" vertical="center" wrapText="1"/>
      <protection locked="0"/>
    </xf>
    <xf numFmtId="165" fontId="64" fillId="12" borderId="4" xfId="0" applyNumberFormat="1" applyFont="1" applyFill="1" applyBorder="1" applyAlignment="1">
      <alignment horizontal="center" vertical="center" wrapText="1"/>
    </xf>
    <xf numFmtId="167" fontId="64" fillId="15" borderId="4" xfId="0" applyNumberFormat="1" applyFont="1" applyFill="1" applyBorder="1" applyAlignment="1" applyProtection="1">
      <alignment horizontal="center" vertical="center" wrapText="1"/>
      <protection locked="0"/>
    </xf>
    <xf numFmtId="165" fontId="63" fillId="0" borderId="4" xfId="6" applyNumberFormat="1" applyFont="1" applyFill="1" applyBorder="1" applyAlignment="1" applyProtection="1">
      <alignment horizontal="center" vertical="center"/>
      <protection locked="0"/>
    </xf>
    <xf numFmtId="0" fontId="64" fillId="0" borderId="4" xfId="2" applyFont="1" applyBorder="1" applyAlignment="1">
      <alignment horizontal="left" vertical="top" wrapText="1"/>
    </xf>
    <xf numFmtId="168" fontId="64" fillId="2" borderId="4" xfId="0" applyNumberFormat="1" applyFont="1" applyFill="1" applyBorder="1" applyAlignment="1" applyProtection="1">
      <alignment horizontal="center" vertical="center" wrapText="1"/>
      <protection locked="0"/>
    </xf>
    <xf numFmtId="0" fontId="55" fillId="0" borderId="4" xfId="2" applyFont="1" applyBorder="1" applyAlignment="1">
      <alignment horizontal="center" vertical="center" wrapText="1"/>
    </xf>
    <xf numFmtId="14" fontId="64" fillId="0" borderId="0" xfId="0" applyNumberFormat="1" applyFont="1" applyAlignment="1" applyProtection="1">
      <alignment horizontal="center" vertical="center" wrapText="1"/>
      <protection locked="0"/>
    </xf>
    <xf numFmtId="165" fontId="64" fillId="0" borderId="0" xfId="0" applyNumberFormat="1" applyFont="1" applyAlignment="1" applyProtection="1">
      <alignment horizontal="center" vertical="center" wrapText="1"/>
      <protection locked="0"/>
    </xf>
    <xf numFmtId="0" fontId="64" fillId="0" borderId="0" xfId="0" applyFont="1" applyAlignment="1">
      <alignment horizontal="left" vertical="top" wrapText="1"/>
    </xf>
    <xf numFmtId="0" fontId="55" fillId="0" borderId="4" xfId="0" applyFont="1" applyBorder="1" applyAlignment="1" applyProtection="1">
      <alignment horizontal="left" vertical="center" wrapText="1"/>
      <protection locked="0"/>
    </xf>
    <xf numFmtId="0" fontId="64" fillId="0" borderId="0" xfId="2" applyFont="1" applyAlignment="1">
      <alignment horizontal="left" vertical="top" wrapText="1"/>
    </xf>
    <xf numFmtId="0" fontId="18" fillId="23" borderId="7" xfId="2" applyFont="1" applyFill="1" applyBorder="1" applyAlignment="1" applyProtection="1">
      <alignment horizontal="center" vertical="center" textRotation="180" wrapText="1"/>
      <protection locked="0"/>
    </xf>
    <xf numFmtId="49" fontId="26" fillId="0" borderId="1" xfId="0" applyNumberFormat="1" applyFont="1" applyBorder="1" applyAlignment="1" applyProtection="1">
      <alignment horizontal="left" vertical="center" wrapText="1"/>
      <protection locked="0"/>
    </xf>
    <xf numFmtId="0" fontId="26" fillId="0" borderId="1" xfId="0" applyFont="1" applyBorder="1" applyAlignment="1" applyProtection="1">
      <alignment horizontal="left" vertical="top" wrapText="1"/>
      <protection locked="0"/>
    </xf>
    <xf numFmtId="14" fontId="5" fillId="0" borderId="0" xfId="0" applyNumberFormat="1" applyFont="1"/>
    <xf numFmtId="0" fontId="5" fillId="0" borderId="0" xfId="0" applyFont="1"/>
    <xf numFmtId="0" fontId="5" fillId="0" borderId="1" xfId="0" applyFont="1" applyBorder="1" applyAlignment="1">
      <alignment wrapText="1"/>
    </xf>
    <xf numFmtId="14" fontId="5" fillId="0" borderId="1" xfId="0" applyNumberFormat="1" applyFont="1" applyBorder="1" applyAlignment="1">
      <alignment wrapText="1"/>
    </xf>
    <xf numFmtId="167" fontId="5" fillId="0" borderId="1" xfId="0" applyNumberFormat="1" applyFont="1" applyBorder="1"/>
    <xf numFmtId="166" fontId="5" fillId="0" borderId="1" xfId="0" applyNumberFormat="1" applyFont="1" applyBorder="1" applyAlignment="1">
      <alignment wrapText="1"/>
    </xf>
    <xf numFmtId="0" fontId="5" fillId="0" borderId="0" xfId="0" applyFont="1" applyAlignment="1">
      <alignment wrapText="1"/>
    </xf>
    <xf numFmtId="14" fontId="5" fillId="0" borderId="0" xfId="0" applyNumberFormat="1" applyFont="1" applyAlignment="1">
      <alignment wrapText="1"/>
    </xf>
    <xf numFmtId="49" fontId="5" fillId="0" borderId="0" xfId="0" applyNumberFormat="1" applyFont="1" applyAlignment="1">
      <alignment wrapText="1"/>
    </xf>
    <xf numFmtId="168" fontId="5" fillId="0" borderId="0" xfId="0" applyNumberFormat="1" applyFont="1" applyAlignment="1">
      <alignment wrapText="1"/>
    </xf>
    <xf numFmtId="167" fontId="5" fillId="0" borderId="1" xfId="0" applyNumberFormat="1" applyFont="1" applyBorder="1" applyAlignment="1" applyProtection="1">
      <alignment wrapText="1"/>
      <protection locked="0"/>
    </xf>
    <xf numFmtId="168" fontId="5" fillId="0" borderId="1" xfId="6" applyNumberFormat="1" applyFont="1" applyBorder="1" applyAlignment="1" applyProtection="1">
      <alignment horizontal="center" vertical="center" wrapText="1"/>
      <protection locked="0"/>
    </xf>
    <xf numFmtId="14" fontId="5" fillId="12" borderId="1"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168" fontId="16" fillId="0" borderId="1" xfId="0" applyNumberFormat="1" applyFont="1" applyBorder="1" applyAlignment="1">
      <alignment horizontal="center" vertical="center" wrapText="1"/>
    </xf>
    <xf numFmtId="0" fontId="16" fillId="20" borderId="1" xfId="0" applyFont="1" applyFill="1" applyBorder="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165" fontId="63" fillId="0" borderId="12" xfId="0" applyNumberFormat="1" applyFont="1" applyBorder="1" applyAlignment="1">
      <alignment horizontal="center" vertical="center"/>
    </xf>
    <xf numFmtId="14" fontId="66" fillId="0" borderId="1" xfId="0" applyNumberFormat="1" applyFont="1" applyBorder="1" applyAlignment="1">
      <alignment horizontal="center"/>
    </xf>
    <xf numFmtId="0" fontId="66" fillId="0" borderId="3" xfId="0" applyFont="1" applyBorder="1" applyAlignment="1">
      <alignment horizontal="center"/>
    </xf>
    <xf numFmtId="0" fontId="64" fillId="0" borderId="3" xfId="0" applyFont="1" applyBorder="1" applyAlignment="1">
      <alignment horizontal="center"/>
    </xf>
    <xf numFmtId="0" fontId="4" fillId="3" borderId="1" xfId="0" applyFont="1" applyFill="1" applyBorder="1" applyAlignment="1" applyProtection="1">
      <alignment vertical="center" wrapText="1"/>
      <protection locked="0"/>
    </xf>
    <xf numFmtId="0" fontId="55" fillId="0" borderId="1"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1" xfId="2" applyBorder="1" applyAlignment="1">
      <alignment vertical="center" wrapText="1"/>
    </xf>
    <xf numFmtId="0" fontId="5" fillId="14" borderId="1" xfId="0" applyFont="1" applyFill="1" applyBorder="1" applyAlignment="1" applyProtection="1">
      <alignment vertical="top" wrapText="1"/>
      <protection locked="0"/>
    </xf>
    <xf numFmtId="0" fontId="7" fillId="0" borderId="12"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5" fillId="14" borderId="1" xfId="0" applyFont="1" applyFill="1" applyBorder="1" applyAlignment="1" applyProtection="1">
      <alignment vertical="center" wrapText="1"/>
      <protection locked="0"/>
    </xf>
    <xf numFmtId="0" fontId="5" fillId="16" borderId="1" xfId="0" applyFont="1" applyFill="1" applyBorder="1" applyAlignment="1" applyProtection="1">
      <alignment vertical="center" wrapText="1"/>
      <protection locked="0"/>
    </xf>
    <xf numFmtId="0" fontId="5" fillId="0" borderId="1" xfId="0" applyFont="1" applyBorder="1" applyAlignment="1" applyProtection="1">
      <alignment vertical="top" wrapText="1"/>
      <protection locked="0"/>
    </xf>
    <xf numFmtId="0" fontId="5" fillId="17" borderId="1" xfId="0" applyFont="1" applyFill="1" applyBorder="1" applyAlignment="1" applyProtection="1">
      <alignment vertical="center" wrapText="1"/>
      <protection locked="0"/>
    </xf>
    <xf numFmtId="0" fontId="9" fillId="0" borderId="1" xfId="0" applyFont="1" applyBorder="1" applyAlignment="1">
      <alignment vertical="center" wrapText="1"/>
    </xf>
    <xf numFmtId="0" fontId="34" fillId="0" borderId="1" xfId="0" applyFont="1" applyBorder="1" applyAlignment="1">
      <alignment wrapText="1"/>
    </xf>
    <xf numFmtId="0" fontId="5" fillId="0" borderId="1" xfId="1" applyFont="1" applyBorder="1" applyAlignment="1" applyProtection="1">
      <alignment vertical="center" wrapText="1"/>
      <protection locked="0"/>
    </xf>
    <xf numFmtId="0" fontId="7" fillId="0" borderId="1" xfId="0" applyFont="1" applyBorder="1" applyAlignment="1" applyProtection="1">
      <alignment vertical="top" wrapText="1"/>
      <protection locked="0"/>
    </xf>
    <xf numFmtId="0" fontId="7" fillId="14" borderId="1" xfId="0" applyFont="1" applyFill="1" applyBorder="1" applyAlignment="1" applyProtection="1">
      <alignment vertical="center" wrapText="1"/>
      <protection locked="0"/>
    </xf>
    <xf numFmtId="0" fontId="34" fillId="0" borderId="1" xfId="0" applyFont="1" applyBorder="1" applyAlignment="1" applyProtection="1">
      <alignment vertical="center" wrapText="1"/>
      <protection locked="0"/>
    </xf>
    <xf numFmtId="0" fontId="54" fillId="13" borderId="1" xfId="2" applyFont="1" applyFill="1" applyBorder="1" applyAlignment="1">
      <alignment vertical="center" wrapText="1"/>
    </xf>
    <xf numFmtId="0" fontId="7" fillId="7" borderId="1" xfId="2" applyFill="1" applyBorder="1" applyAlignment="1">
      <alignment vertical="center" wrapText="1"/>
    </xf>
    <xf numFmtId="0" fontId="51" fillId="13" borderId="1" xfId="2" applyFont="1" applyFill="1" applyBorder="1" applyAlignment="1">
      <alignment vertical="center" wrapText="1"/>
    </xf>
    <xf numFmtId="0" fontId="7" fillId="22" borderId="1" xfId="2" applyFill="1" applyBorder="1" applyAlignment="1">
      <alignment vertical="center" wrapText="1"/>
    </xf>
    <xf numFmtId="0" fontId="7" fillId="22" borderId="1" xfId="0" applyFont="1" applyFill="1" applyBorder="1" applyAlignment="1" applyProtection="1">
      <alignment vertical="center" wrapText="1"/>
      <protection locked="0"/>
    </xf>
    <xf numFmtId="0" fontId="7" fillId="0" borderId="6" xfId="2" applyBorder="1" applyAlignment="1">
      <alignment vertical="center" wrapText="1"/>
    </xf>
    <xf numFmtId="0" fontId="7" fillId="0" borderId="7" xfId="0" applyFont="1" applyBorder="1" applyAlignment="1" applyProtection="1">
      <alignment vertical="center" wrapText="1"/>
      <protection locked="0"/>
    </xf>
    <xf numFmtId="0" fontId="5" fillId="0" borderId="6" xfId="0" applyFont="1" applyBorder="1" applyAlignment="1" applyProtection="1">
      <alignment vertical="top" wrapText="1"/>
      <protection locked="0"/>
    </xf>
    <xf numFmtId="0" fontId="64" fillId="0" borderId="1" xfId="2" applyFont="1" applyBorder="1" applyAlignment="1">
      <alignment vertical="center" wrapText="1"/>
    </xf>
    <xf numFmtId="0" fontId="64" fillId="0" borderId="1" xfId="0" applyFont="1" applyBorder="1" applyAlignment="1" applyProtection="1">
      <alignment vertical="center" wrapText="1"/>
      <protection locked="0"/>
    </xf>
    <xf numFmtId="0" fontId="64" fillId="0" borderId="1" xfId="1" applyFont="1" applyBorder="1" applyAlignment="1" applyProtection="1">
      <alignment vertical="center" wrapText="1"/>
      <protection locked="0"/>
    </xf>
    <xf numFmtId="0" fontId="7" fillId="21" borderId="1" xfId="2" applyFill="1" applyBorder="1" applyAlignment="1">
      <alignment vertical="center" wrapText="1"/>
    </xf>
    <xf numFmtId="0" fontId="64" fillId="0" borderId="12" xfId="0" applyFont="1" applyBorder="1" applyAlignment="1" applyProtection="1">
      <alignment vertical="center" wrapText="1"/>
      <protection locked="0"/>
    </xf>
    <xf numFmtId="0" fontId="55" fillId="0" borderId="12" xfId="0" applyFont="1" applyBorder="1" applyAlignment="1" applyProtection="1">
      <alignment vertical="center" wrapText="1"/>
      <protection locked="0"/>
    </xf>
    <xf numFmtId="0" fontId="64" fillId="23" borderId="1" xfId="0" applyFont="1" applyFill="1" applyBorder="1" applyAlignment="1" applyProtection="1">
      <alignment vertical="center" wrapText="1"/>
      <protection locked="0"/>
    </xf>
    <xf numFmtId="0" fontId="64" fillId="10" borderId="1" xfId="2" applyFont="1" applyFill="1" applyBorder="1" applyAlignment="1">
      <alignment vertical="center" wrapText="1"/>
    </xf>
    <xf numFmtId="0" fontId="64" fillId="0" borderId="14" xfId="0" applyFont="1" applyBorder="1" applyAlignment="1" applyProtection="1">
      <alignment vertical="center" wrapText="1"/>
      <protection locked="0"/>
    </xf>
    <xf numFmtId="0" fontId="64" fillId="0" borderId="4" xfId="0" applyFont="1" applyBorder="1" applyAlignment="1" applyProtection="1">
      <alignment vertical="center" wrapText="1"/>
      <protection locked="0"/>
    </xf>
    <xf numFmtId="0" fontId="73" fillId="0" borderId="0" xfId="0" applyFont="1"/>
    <xf numFmtId="0" fontId="63" fillId="0" borderId="27" xfId="0" applyFont="1" applyBorder="1" applyAlignment="1">
      <alignment horizontal="left" vertical="center" wrapText="1"/>
    </xf>
    <xf numFmtId="0" fontId="73" fillId="11" borderId="0" xfId="0" applyFont="1" applyFill="1"/>
    <xf numFmtId="14" fontId="66" fillId="0" borderId="12" xfId="0" applyNumberFormat="1" applyFont="1" applyBorder="1" applyAlignment="1">
      <alignment horizontal="center"/>
    </xf>
    <xf numFmtId="14" fontId="66" fillId="0" borderId="0" xfId="0" applyNumberFormat="1" applyFont="1" applyAlignment="1">
      <alignment horizontal="center"/>
    </xf>
    <xf numFmtId="14" fontId="0" fillId="0" borderId="6" xfId="0" applyNumberFormat="1" applyBorder="1"/>
    <xf numFmtId="0" fontId="63" fillId="23" borderId="0" xfId="0" applyFont="1" applyFill="1" applyAlignment="1">
      <alignment horizontal="center" vertical="center"/>
    </xf>
    <xf numFmtId="0" fontId="66" fillId="0" borderId="12" xfId="0" applyFont="1" applyBorder="1" applyAlignment="1">
      <alignment horizontal="center"/>
    </xf>
    <xf numFmtId="0" fontId="66" fillId="0" borderId="21" xfId="0" applyFont="1" applyBorder="1" applyAlignment="1">
      <alignment horizontal="center"/>
    </xf>
    <xf numFmtId="0" fontId="66" fillId="0" borderId="1" xfId="0" applyFont="1" applyBorder="1" applyAlignment="1">
      <alignment horizontal="center"/>
    </xf>
    <xf numFmtId="0" fontId="5" fillId="0" borderId="23" xfId="0" applyFont="1" applyBorder="1" applyAlignment="1" applyProtection="1">
      <alignment vertical="center"/>
      <protection locked="0"/>
    </xf>
    <xf numFmtId="0" fontId="66" fillId="0" borderId="0" xfId="0" applyFont="1" applyAlignment="1">
      <alignment horizontal="center"/>
    </xf>
    <xf numFmtId="0" fontId="55" fillId="0" borderId="23" xfId="2" applyFont="1" applyBorder="1" applyAlignment="1">
      <alignment horizontal="center" vertical="center" wrapText="1"/>
    </xf>
    <xf numFmtId="0" fontId="55" fillId="0" borderId="13" xfId="2" applyFont="1" applyBorder="1" applyAlignment="1">
      <alignment horizontal="center" vertical="center" wrapText="1"/>
    </xf>
    <xf numFmtId="0" fontId="55" fillId="0" borderId="7" xfId="2" applyFont="1" applyBorder="1" applyAlignment="1">
      <alignment horizontal="center" vertical="center" wrapText="1"/>
    </xf>
    <xf numFmtId="0" fontId="64" fillId="0" borderId="1" xfId="0" applyFont="1" applyBorder="1" applyAlignment="1">
      <alignment horizontal="center"/>
    </xf>
    <xf numFmtId="0" fontId="7" fillId="0" borderId="4" xfId="0" applyFont="1" applyBorder="1" applyAlignment="1">
      <alignment horizontal="center" vertical="center" wrapText="1"/>
    </xf>
    <xf numFmtId="0" fontId="7" fillId="0" borderId="4" xfId="2" applyBorder="1" applyAlignment="1">
      <alignment horizontal="center" vertical="center" wrapText="1"/>
    </xf>
    <xf numFmtId="0" fontId="64" fillId="0" borderId="2" xfId="0" applyFont="1" applyBorder="1" applyAlignment="1">
      <alignment horizontal="center"/>
    </xf>
    <xf numFmtId="0" fontId="29" fillId="0" borderId="2" xfId="0" applyFont="1" applyBorder="1"/>
    <xf numFmtId="167" fontId="55" fillId="0" borderId="4" xfId="6" applyNumberFormat="1" applyFont="1" applyFill="1" applyBorder="1" applyAlignment="1" applyProtection="1">
      <alignment horizontal="center" vertical="center" wrapText="1"/>
      <protection locked="0"/>
    </xf>
    <xf numFmtId="0" fontId="7" fillId="0" borderId="5" xfId="2" applyBorder="1" applyAlignment="1">
      <alignment horizontal="center" vertical="center" wrapText="1"/>
    </xf>
    <xf numFmtId="0" fontId="64" fillId="0" borderId="12" xfId="0" applyFont="1" applyBorder="1" applyAlignment="1">
      <alignment horizontal="center"/>
    </xf>
    <xf numFmtId="0" fontId="34" fillId="0" borderId="4" xfId="0" applyFont="1" applyBorder="1" applyAlignment="1">
      <alignment vertical="center"/>
    </xf>
    <xf numFmtId="0" fontId="34" fillId="0" borderId="4" xfId="0" applyFont="1" applyBorder="1" applyAlignment="1">
      <alignment horizontal="center" vertical="center"/>
    </xf>
    <xf numFmtId="0" fontId="64" fillId="10" borderId="4" xfId="0" applyFont="1" applyFill="1" applyBorder="1" applyAlignment="1">
      <alignment horizontal="center" vertical="center" wrapText="1"/>
    </xf>
    <xf numFmtId="0" fontId="7" fillId="0" borderId="20" xfId="0" applyFont="1" applyBorder="1" applyAlignment="1">
      <alignment horizontal="center" vertical="center" wrapText="1"/>
    </xf>
    <xf numFmtId="0" fontId="55" fillId="0" borderId="4" xfId="0" applyFont="1" applyBorder="1" applyAlignment="1">
      <alignment horizontal="center" vertical="center" wrapText="1"/>
    </xf>
    <xf numFmtId="0" fontId="5" fillId="0" borderId="6" xfId="0" applyFont="1" applyBorder="1" applyAlignment="1">
      <alignment vertical="top"/>
    </xf>
    <xf numFmtId="0" fontId="5" fillId="2" borderId="4" xfId="0"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5"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5" fillId="7" borderId="6" xfId="0" applyFont="1" applyFill="1" applyBorder="1" applyAlignment="1">
      <alignment horizontal="center" vertical="center"/>
    </xf>
    <xf numFmtId="0" fontId="7" fillId="0" borderId="20" xfId="2" applyBorder="1" applyAlignment="1">
      <alignment horizontal="center" vertical="center" wrapText="1"/>
    </xf>
    <xf numFmtId="0" fontId="7" fillId="0" borderId="8" xfId="2" applyBorder="1" applyAlignment="1">
      <alignment horizontal="center" vertical="center" wrapText="1"/>
    </xf>
    <xf numFmtId="0" fontId="7" fillId="0" borderId="8" xfId="0" applyFont="1" applyBorder="1" applyAlignment="1" applyProtection="1">
      <alignment horizontal="center" vertical="center" wrapText="1"/>
      <protection locked="0"/>
    </xf>
    <xf numFmtId="0" fontId="64" fillId="0" borderId="1" xfId="0" applyFont="1" applyBorder="1"/>
    <xf numFmtId="0" fontId="7" fillId="0" borderId="4" xfId="0" applyFont="1" applyBorder="1" applyAlignment="1">
      <alignment vertical="center" wrapText="1"/>
    </xf>
    <xf numFmtId="0" fontId="7" fillId="0" borderId="4" xfId="0" applyFont="1" applyBorder="1" applyAlignment="1" applyProtection="1">
      <alignment vertical="center" wrapText="1"/>
      <protection locked="0"/>
    </xf>
    <xf numFmtId="0" fontId="7" fillId="0" borderId="4" xfId="2" applyBorder="1" applyAlignment="1">
      <alignment vertical="center" wrapText="1"/>
    </xf>
    <xf numFmtId="0" fontId="7" fillId="0" borderId="12" xfId="0" applyFont="1" applyBorder="1" applyAlignment="1">
      <alignment vertical="center" wrapText="1"/>
    </xf>
    <xf numFmtId="0" fontId="7" fillId="0" borderId="13" xfId="2" applyBorder="1" applyAlignment="1">
      <alignment vertical="center" wrapText="1"/>
    </xf>
    <xf numFmtId="0" fontId="64" fillId="0" borderId="4" xfId="2" applyFont="1" applyBorder="1" applyAlignment="1">
      <alignment vertical="center" wrapText="1"/>
    </xf>
    <xf numFmtId="0" fontId="7" fillId="0" borderId="7" xfId="2" applyBorder="1" applyAlignment="1">
      <alignment vertical="center" wrapText="1"/>
    </xf>
    <xf numFmtId="0" fontId="64" fillId="0" borderId="0" xfId="0" applyFont="1" applyAlignment="1" applyProtection="1">
      <alignment vertical="center" wrapText="1"/>
      <protection locked="0"/>
    </xf>
    <xf numFmtId="0" fontId="55" fillId="0" borderId="4"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64" fillId="0" borderId="1" xfId="0" applyFont="1" applyBorder="1" applyAlignment="1">
      <alignment wrapText="1"/>
    </xf>
    <xf numFmtId="0" fontId="7" fillId="0" borderId="4" xfId="0" applyFont="1" applyBorder="1" applyAlignment="1">
      <alignment horizontal="left" vertical="center" wrapText="1"/>
    </xf>
    <xf numFmtId="0" fontId="7" fillId="0" borderId="4" xfId="0" applyFont="1" applyBorder="1" applyAlignment="1" applyProtection="1">
      <alignment horizontal="left" vertical="center" wrapText="1"/>
      <protection locked="0"/>
    </xf>
    <xf numFmtId="0" fontId="34" fillId="0" borderId="4" xfId="0" applyFont="1" applyBorder="1" applyAlignment="1">
      <alignment horizontal="left" vertical="center" wrapText="1"/>
    </xf>
    <xf numFmtId="0" fontId="7" fillId="0" borderId="4" xfId="2" applyBorder="1" applyAlignment="1">
      <alignment horizontal="left" vertical="center" wrapText="1"/>
    </xf>
    <xf numFmtId="0" fontId="64" fillId="0" borderId="0" xfId="1" applyFont="1" applyAlignment="1" applyProtection="1">
      <alignment horizontal="left" vertical="center" wrapText="1"/>
      <protection locked="0"/>
    </xf>
    <xf numFmtId="0" fontId="5" fillId="0" borderId="15" xfId="0" applyFont="1" applyBorder="1" applyAlignment="1" applyProtection="1">
      <alignment vertical="center" wrapText="1"/>
      <protection locked="0"/>
    </xf>
    <xf numFmtId="0" fontId="7" fillId="0" borderId="15" xfId="0" applyFont="1" applyBorder="1" applyAlignment="1" applyProtection="1">
      <alignment horizontal="left" vertical="center" wrapText="1"/>
      <protection locked="0"/>
    </xf>
    <xf numFmtId="0" fontId="7" fillId="0" borderId="26" xfId="2" applyBorder="1" applyAlignment="1">
      <alignment horizontal="left" vertical="center" wrapText="1"/>
    </xf>
    <xf numFmtId="0" fontId="7" fillId="0" borderId="0" xfId="2" applyAlignment="1">
      <alignment horizontal="left" vertical="center" wrapText="1"/>
    </xf>
    <xf numFmtId="0" fontId="64" fillId="0" borderId="0" xfId="0" applyFont="1" applyAlignment="1">
      <alignment horizontal="center"/>
    </xf>
    <xf numFmtId="0" fontId="53" fillId="14" borderId="7" xfId="0" applyFont="1" applyFill="1" applyBorder="1" applyAlignment="1">
      <alignment horizontal="left" vertical="center" wrapText="1"/>
    </xf>
    <xf numFmtId="0" fontId="7" fillId="0" borderId="12" xfId="0" applyFont="1" applyBorder="1" applyAlignment="1">
      <alignment horizontal="left" vertical="center" wrapText="1"/>
    </xf>
    <xf numFmtId="14" fontId="7" fillId="0" borderId="4" xfId="0" applyNumberFormat="1" applyFont="1" applyBorder="1" applyAlignment="1" applyProtection="1">
      <alignment horizontal="center" vertical="center" wrapText="1"/>
      <protection locked="0"/>
    </xf>
    <xf numFmtId="169" fontId="7" fillId="0" borderId="4" xfId="0" applyNumberFormat="1" applyFont="1" applyBorder="1" applyAlignment="1" applyProtection="1">
      <alignment horizontal="center" vertical="center" wrapText="1"/>
      <protection locked="0"/>
    </xf>
    <xf numFmtId="14" fontId="7" fillId="0" borderId="4" xfId="0" applyNumberFormat="1" applyFont="1" applyBorder="1" applyAlignment="1">
      <alignment horizontal="center" vertical="center" wrapText="1"/>
    </xf>
    <xf numFmtId="169" fontId="7" fillId="0" borderId="4" xfId="2" applyNumberFormat="1" applyBorder="1" applyAlignment="1">
      <alignment horizontal="center" vertical="center" wrapText="1"/>
    </xf>
    <xf numFmtId="169" fontId="7" fillId="0" borderId="26" xfId="2" applyNumberFormat="1" applyBorder="1" applyAlignment="1">
      <alignment horizontal="center" vertical="center" wrapText="1"/>
    </xf>
    <xf numFmtId="15" fontId="7" fillId="0" borderId="12" xfId="0" applyNumberFormat="1" applyFont="1" applyBorder="1" applyAlignment="1" applyProtection="1">
      <alignment horizontal="center" vertical="center" wrapText="1"/>
      <protection locked="0"/>
    </xf>
    <xf numFmtId="169" fontId="7" fillId="0" borderId="12" xfId="2" applyNumberFormat="1" applyBorder="1" applyAlignment="1">
      <alignment horizontal="center" vertical="center" wrapText="1"/>
    </xf>
    <xf numFmtId="0" fontId="64" fillId="11" borderId="0" xfId="0" applyFont="1" applyFill="1" applyAlignment="1" applyProtection="1">
      <alignment horizontal="center" vertical="center" wrapText="1"/>
      <protection locked="0"/>
    </xf>
    <xf numFmtId="15" fontId="55" fillId="0" borderId="4" xfId="0" applyNumberFormat="1" applyFont="1" applyBorder="1" applyAlignment="1" applyProtection="1">
      <alignment horizontal="center" vertical="center" wrapText="1"/>
      <protection locked="0"/>
    </xf>
    <xf numFmtId="15" fontId="55" fillId="0" borderId="4" xfId="0" quotePrefix="1" applyNumberFormat="1" applyFont="1" applyBorder="1" applyAlignment="1" applyProtection="1">
      <alignment horizontal="center" vertical="center" wrapText="1"/>
      <protection locked="0"/>
    </xf>
    <xf numFmtId="15" fontId="7" fillId="0" borderId="4" xfId="0" quotePrefix="1" applyNumberFormat="1" applyFont="1" applyBorder="1" applyAlignment="1" applyProtection="1">
      <alignment horizontal="center" vertical="center" wrapText="1"/>
      <protection locked="0"/>
    </xf>
    <xf numFmtId="14" fontId="7" fillId="0" borderId="21" xfId="0" applyNumberFormat="1" applyFont="1" applyBorder="1" applyAlignment="1" applyProtection="1">
      <alignment horizontal="center" vertical="center" wrapText="1"/>
      <protection locked="0"/>
    </xf>
    <xf numFmtId="0" fontId="0" fillId="0" borderId="21" xfId="0" applyBorder="1"/>
    <xf numFmtId="169" fontId="7" fillId="0" borderId="13" xfId="2" applyNumberFormat="1" applyBorder="1" applyAlignment="1">
      <alignment horizontal="center" vertical="center" wrapText="1"/>
    </xf>
    <xf numFmtId="165" fontId="5" fillId="0" borderId="12" xfId="0" applyNumberFormat="1" applyFont="1" applyBorder="1" applyAlignment="1" applyProtection="1">
      <alignment horizontal="center" vertical="center" wrapText="1"/>
      <protection locked="0"/>
    </xf>
    <xf numFmtId="15" fontId="7" fillId="0" borderId="21" xfId="0" applyNumberFormat="1" applyFont="1" applyBorder="1" applyAlignment="1" applyProtection="1">
      <alignment horizontal="center" vertical="center" wrapText="1"/>
      <protection locked="0"/>
    </xf>
    <xf numFmtId="169" fontId="7" fillId="0" borderId="7" xfId="2" applyNumberFormat="1" applyBorder="1" applyAlignment="1">
      <alignment horizontal="center" vertical="center" wrapText="1"/>
    </xf>
    <xf numFmtId="15" fontId="7" fillId="0" borderId="7" xfId="0" quotePrefix="1" applyNumberFormat="1" applyFont="1" applyBorder="1" applyAlignment="1" applyProtection="1">
      <alignment horizontal="center" vertical="center" wrapText="1"/>
      <protection locked="0"/>
    </xf>
    <xf numFmtId="165" fontId="5" fillId="0" borderId="17" xfId="0" applyNumberFormat="1" applyFont="1" applyBorder="1" applyAlignment="1" applyProtection="1">
      <alignment horizontal="center" vertical="center" wrapText="1"/>
      <protection locked="0"/>
    </xf>
    <xf numFmtId="15" fontId="7" fillId="0" borderId="4" xfId="0" applyNumberFormat="1" applyFont="1" applyBorder="1" applyAlignment="1" applyProtection="1">
      <alignment horizontal="center" vertical="center" wrapText="1"/>
      <protection locked="0"/>
    </xf>
    <xf numFmtId="14" fontId="5" fillId="0" borderId="6" xfId="0" applyNumberFormat="1" applyFont="1" applyBorder="1" applyAlignment="1">
      <alignment horizontal="center" vertical="center" wrapText="1"/>
    </xf>
    <xf numFmtId="14" fontId="7" fillId="0" borderId="0" xfId="0" applyNumberFormat="1" applyFont="1" applyAlignment="1">
      <alignment horizontal="center" vertical="center" wrapText="1"/>
    </xf>
    <xf numFmtId="14" fontId="5" fillId="2" borderId="6" xfId="0" applyNumberFormat="1" applyFont="1" applyFill="1" applyBorder="1" applyAlignment="1" applyProtection="1">
      <alignment horizontal="center" vertical="center"/>
      <protection locked="0"/>
    </xf>
    <xf numFmtId="14" fontId="64" fillId="0" borderId="1" xfId="0" applyNumberFormat="1" applyFont="1" applyBorder="1" applyAlignment="1">
      <alignment horizontal="center"/>
    </xf>
    <xf numFmtId="14" fontId="7" fillId="0" borderId="4" xfId="2" applyNumberFormat="1" applyBorder="1" applyAlignment="1">
      <alignment horizontal="center" vertical="center" wrapText="1"/>
    </xf>
    <xf numFmtId="169" fontId="7" fillId="0" borderId="20" xfId="2" applyNumberFormat="1" applyBorder="1" applyAlignment="1">
      <alignment horizontal="center" vertical="center" wrapText="1"/>
    </xf>
    <xf numFmtId="14" fontId="64" fillId="0" borderId="0" xfId="2" applyNumberFormat="1" applyFont="1" applyAlignment="1">
      <alignment horizontal="center" vertical="center" wrapText="1"/>
    </xf>
    <xf numFmtId="165" fontId="7" fillId="0" borderId="12" xfId="2" applyNumberFormat="1" applyBorder="1" applyAlignment="1">
      <alignment horizontal="center" vertical="center" wrapText="1"/>
    </xf>
    <xf numFmtId="14" fontId="8" fillId="0" borderId="6" xfId="0" applyNumberFormat="1" applyFont="1" applyBorder="1" applyAlignment="1">
      <alignment horizontal="center" vertical="center"/>
    </xf>
    <xf numFmtId="14" fontId="5" fillId="0" borderId="6" xfId="0" applyNumberFormat="1" applyFont="1" applyBorder="1" applyAlignment="1" applyProtection="1">
      <alignment horizontal="center" vertical="top" wrapText="1"/>
      <protection locked="0"/>
    </xf>
    <xf numFmtId="1" fontId="55" fillId="0" borderId="4" xfId="0" applyNumberFormat="1" applyFont="1" applyBorder="1" applyAlignment="1" applyProtection="1">
      <alignment horizontal="center" vertical="center" wrapText="1"/>
      <protection locked="0"/>
    </xf>
    <xf numFmtId="14" fontId="64" fillId="0" borderId="0" xfId="0" applyNumberFormat="1" applyFont="1" applyAlignment="1">
      <alignment horizontal="center"/>
    </xf>
    <xf numFmtId="1" fontId="7" fillId="0" borderId="3" xfId="0" applyNumberFormat="1"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wrapText="1"/>
      <protection locked="0"/>
    </xf>
    <xf numFmtId="14" fontId="64" fillId="0" borderId="2" xfId="0" applyNumberFormat="1" applyFont="1" applyBorder="1" applyAlignment="1">
      <alignment horizontal="center"/>
    </xf>
    <xf numFmtId="1" fontId="7" fillId="0" borderId="4" xfId="0" applyNumberFormat="1" applyFont="1" applyBorder="1" applyAlignment="1">
      <alignment horizontal="center" vertical="center" wrapText="1"/>
    </xf>
    <xf numFmtId="1" fontId="7" fillId="0" borderId="4" xfId="2" applyNumberFormat="1" applyBorder="1" applyAlignment="1">
      <alignment horizontal="center" vertical="center" wrapText="1"/>
    </xf>
    <xf numFmtId="1" fontId="7" fillId="0" borderId="13" xfId="2" applyNumberFormat="1" applyBorder="1" applyAlignment="1">
      <alignment horizontal="center" vertical="center" wrapText="1"/>
    </xf>
    <xf numFmtId="1" fontId="55" fillId="0" borderId="6" xfId="0" applyNumberFormat="1" applyFont="1" applyBorder="1" applyAlignment="1" applyProtection="1">
      <alignment horizontal="center" vertical="center" wrapText="1"/>
      <protection locked="0"/>
    </xf>
    <xf numFmtId="0" fontId="5" fillId="2" borderId="6" xfId="0" applyFont="1" applyFill="1" applyBorder="1" applyAlignment="1" applyProtection="1">
      <alignment horizontal="center" vertical="center"/>
      <protection locked="0"/>
    </xf>
    <xf numFmtId="1" fontId="7" fillId="0" borderId="20" xfId="2" applyNumberFormat="1" applyBorder="1" applyAlignment="1">
      <alignment horizontal="center" vertical="center" wrapText="1"/>
    </xf>
    <xf numFmtId="0" fontId="5" fillId="0" borderId="14" xfId="0" applyFont="1" applyBorder="1" applyAlignment="1" applyProtection="1">
      <alignment horizontal="center" vertical="center"/>
      <protection locked="0"/>
    </xf>
    <xf numFmtId="1" fontId="55" fillId="0" borderId="3" xfId="0" applyNumberFormat="1" applyFont="1" applyBorder="1" applyAlignment="1" applyProtection="1">
      <alignment horizontal="center" vertical="center" wrapText="1"/>
      <protection locked="0"/>
    </xf>
    <xf numFmtId="1" fontId="55" fillId="0" borderId="0" xfId="0" applyNumberFormat="1" applyFont="1" applyAlignment="1" applyProtection="1">
      <alignment horizontal="center" vertical="center" wrapText="1"/>
      <protection locked="0"/>
    </xf>
    <xf numFmtId="0" fontId="5" fillId="0" borderId="6" xfId="1" applyFont="1" applyBorder="1" applyAlignment="1">
      <alignment horizontal="center" vertical="center" wrapText="1"/>
    </xf>
    <xf numFmtId="0" fontId="5" fillId="0" borderId="24" xfId="0" applyFont="1" applyBorder="1" applyAlignment="1" applyProtection="1">
      <alignment horizontal="center" vertical="center"/>
      <protection locked="0"/>
    </xf>
    <xf numFmtId="0" fontId="5" fillId="0" borderId="12" xfId="0" applyFont="1" applyBorder="1" applyAlignment="1" applyProtection="1">
      <alignment horizontal="center" wrapText="1"/>
      <protection locked="0"/>
    </xf>
    <xf numFmtId="49" fontId="5" fillId="2" borderId="0" xfId="0" applyNumberFormat="1" applyFont="1" applyFill="1" applyAlignment="1" applyProtection="1">
      <alignment horizontal="center" vertical="center"/>
      <protection locked="0"/>
    </xf>
    <xf numFmtId="0" fontId="5" fillId="14" borderId="0" xfId="0" applyFont="1" applyFill="1" applyAlignment="1">
      <alignment horizontal="center" vertical="top"/>
    </xf>
    <xf numFmtId="49" fontId="5" fillId="2" borderId="6" xfId="0" applyNumberFormat="1" applyFont="1" applyFill="1" applyBorder="1" applyAlignment="1" applyProtection="1">
      <alignment horizontal="center" vertical="center"/>
      <protection locked="0"/>
    </xf>
    <xf numFmtId="49" fontId="5" fillId="0" borderId="2" xfId="0" applyNumberFormat="1" applyFont="1" applyBorder="1" applyAlignment="1" applyProtection="1">
      <alignment vertical="center" wrapText="1"/>
      <protection locked="0"/>
    </xf>
    <xf numFmtId="1" fontId="7" fillId="0" borderId="18" xfId="0" applyNumberFormat="1" applyFont="1" applyBorder="1" applyAlignment="1" applyProtection="1">
      <alignment horizontal="center" vertical="center" wrapText="1"/>
      <protection locked="0"/>
    </xf>
    <xf numFmtId="0" fontId="5" fillId="17" borderId="2" xfId="1" applyFont="1" applyFill="1" applyBorder="1" applyAlignment="1">
      <alignment horizontal="center" vertical="center"/>
    </xf>
    <xf numFmtId="49" fontId="5" fillId="0" borderId="6" xfId="0" applyNumberFormat="1" applyFont="1" applyBorder="1" applyAlignment="1" applyProtection="1">
      <alignment horizontal="center" vertical="top" wrapText="1"/>
      <protection locked="0"/>
    </xf>
    <xf numFmtId="49" fontId="5" fillId="0" borderId="13"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164" fontId="7" fillId="0" borderId="4" xfId="6" applyNumberFormat="1" applyFont="1" applyFill="1" applyBorder="1" applyAlignment="1" applyProtection="1">
      <alignment horizontal="center" vertical="center" wrapText="1"/>
      <protection locked="0"/>
    </xf>
    <xf numFmtId="6" fontId="64" fillId="0" borderId="1" xfId="0" applyNumberFormat="1" applyFont="1" applyBorder="1" applyAlignment="1">
      <alignment horizontal="center"/>
    </xf>
    <xf numFmtId="6" fontId="64" fillId="0" borderId="3" xfId="0" applyNumberFormat="1" applyFont="1" applyBorder="1" applyAlignment="1">
      <alignment horizontal="center"/>
    </xf>
    <xf numFmtId="164" fontId="7" fillId="0" borderId="4" xfId="6" applyNumberFormat="1" applyFont="1" applyFill="1" applyBorder="1" applyAlignment="1" applyProtection="1">
      <alignment horizontal="right" vertical="center" wrapText="1"/>
      <protection locked="0"/>
    </xf>
    <xf numFmtId="164" fontId="7" fillId="0" borderId="4" xfId="6" applyNumberFormat="1" applyFont="1" applyFill="1" applyBorder="1" applyAlignment="1">
      <alignment horizontal="center" vertical="center" wrapText="1"/>
    </xf>
    <xf numFmtId="168" fontId="5" fillId="0" borderId="4" xfId="6" applyNumberFormat="1" applyFont="1" applyFill="1" applyBorder="1" applyAlignment="1" applyProtection="1">
      <alignment horizontal="center" vertical="center" wrapText="1"/>
      <protection locked="0"/>
    </xf>
    <xf numFmtId="164" fontId="55" fillId="0" borderId="12" xfId="6" applyNumberFormat="1" applyFont="1" applyFill="1" applyBorder="1" applyAlignment="1" applyProtection="1">
      <alignment horizontal="left" vertical="center" wrapText="1"/>
      <protection locked="0"/>
    </xf>
    <xf numFmtId="168" fontId="5" fillId="0" borderId="3" xfId="0" applyNumberFormat="1" applyFont="1" applyBorder="1" applyAlignment="1" applyProtection="1">
      <alignment horizontal="center" vertical="center" wrapText="1"/>
      <protection locked="0"/>
    </xf>
    <xf numFmtId="164" fontId="55" fillId="0" borderId="3" xfId="6" applyNumberFormat="1" applyFont="1" applyFill="1" applyBorder="1" applyAlignment="1">
      <alignment horizontal="left" vertical="center" wrapText="1"/>
    </xf>
    <xf numFmtId="164" fontId="7" fillId="0" borderId="20" xfId="6" applyNumberFormat="1" applyFont="1" applyFill="1" applyBorder="1" applyAlignment="1" applyProtection="1">
      <alignment horizontal="right" vertical="center" wrapText="1"/>
      <protection locked="0"/>
    </xf>
    <xf numFmtId="0" fontId="34" fillId="0" borderId="18" xfId="0" applyFont="1" applyBorder="1" applyAlignment="1">
      <alignment horizontal="center" vertical="center" wrapText="1"/>
    </xf>
    <xf numFmtId="164" fontId="7" fillId="0" borderId="12" xfId="0" applyNumberFormat="1" applyFont="1" applyBorder="1" applyAlignment="1" applyProtection="1">
      <alignment horizontal="right" vertical="center" wrapText="1"/>
      <protection locked="0"/>
    </xf>
    <xf numFmtId="168" fontId="64" fillId="23" borderId="1" xfId="6" applyNumberFormat="1" applyFont="1" applyFill="1" applyBorder="1" applyAlignment="1" applyProtection="1">
      <alignment horizontal="center" vertical="center" wrapText="1"/>
      <protection locked="0"/>
    </xf>
    <xf numFmtId="164" fontId="55" fillId="0" borderId="4" xfId="6" applyNumberFormat="1" applyFont="1" applyFill="1" applyBorder="1" applyAlignment="1" applyProtection="1">
      <alignment horizontal="left" vertical="center" wrapText="1"/>
      <protection locked="0"/>
    </xf>
    <xf numFmtId="168" fontId="5" fillId="0" borderId="3" xfId="0" applyNumberFormat="1" applyFont="1" applyBorder="1" applyAlignment="1" applyProtection="1">
      <alignment horizontal="center" vertical="center"/>
      <protection locked="0"/>
    </xf>
    <xf numFmtId="170" fontId="7" fillId="0" borderId="3" xfId="6" applyNumberFormat="1" applyFont="1" applyFill="1" applyBorder="1" applyAlignment="1" applyProtection="1">
      <alignment horizontal="right" vertical="center" wrapText="1"/>
      <protection locked="0"/>
    </xf>
    <xf numFmtId="168" fontId="5" fillId="0" borderId="21" xfId="6" applyNumberFormat="1" applyFont="1" applyFill="1" applyBorder="1" applyAlignment="1" applyProtection="1">
      <alignment horizontal="center" vertical="center" wrapText="1"/>
      <protection locked="0"/>
    </xf>
    <xf numFmtId="168" fontId="5" fillId="0" borderId="8" xfId="0" applyNumberFormat="1" applyFont="1" applyBorder="1" applyAlignment="1" applyProtection="1">
      <alignment horizontal="center" vertical="center"/>
      <protection locked="0"/>
    </xf>
    <xf numFmtId="6" fontId="64" fillId="0" borderId="0" xfId="0" applyNumberFormat="1" applyFont="1" applyAlignment="1">
      <alignment horizontal="center"/>
    </xf>
    <xf numFmtId="164" fontId="7" fillId="0" borderId="10" xfId="6" applyNumberFormat="1" applyFont="1" applyFill="1" applyBorder="1" applyAlignment="1" applyProtection="1">
      <alignment horizontal="center" vertical="center" wrapText="1"/>
      <protection locked="0"/>
    </xf>
    <xf numFmtId="167" fontId="5" fillId="0" borderId="3" xfId="0" applyNumberFormat="1" applyFont="1" applyBorder="1" applyAlignment="1" applyProtection="1">
      <alignment horizontal="center" wrapText="1"/>
      <protection locked="0"/>
    </xf>
    <xf numFmtId="164" fontId="7" fillId="0" borderId="3" xfId="6" applyNumberFormat="1" applyFont="1" applyFill="1" applyBorder="1" applyAlignment="1" applyProtection="1">
      <alignment horizontal="left" vertical="center" wrapText="1"/>
      <protection locked="0"/>
    </xf>
    <xf numFmtId="168" fontId="5" fillId="0" borderId="6" xfId="0" applyNumberFormat="1" applyFont="1" applyBorder="1" applyAlignment="1" applyProtection="1">
      <alignment horizontal="center" vertical="center" wrapText="1"/>
      <protection locked="0"/>
    </xf>
    <xf numFmtId="14" fontId="7" fillId="0" borderId="4" xfId="0" applyNumberFormat="1" applyFont="1" applyBorder="1" applyAlignment="1" applyProtection="1">
      <alignment horizontal="left" vertical="center" wrapText="1"/>
      <protection locked="0"/>
    </xf>
    <xf numFmtId="14" fontId="55" fillId="0" borderId="4" xfId="0" applyNumberFormat="1" applyFont="1" applyBorder="1" applyAlignment="1" applyProtection="1">
      <alignment horizontal="left" vertical="center" wrapText="1"/>
      <protection locked="0"/>
    </xf>
    <xf numFmtId="0" fontId="5" fillId="0" borderId="8" xfId="0" applyFont="1" applyBorder="1" applyAlignment="1" applyProtection="1">
      <alignment vertical="center" wrapText="1"/>
      <protection locked="0"/>
    </xf>
    <xf numFmtId="0" fontId="17" fillId="0" borderId="3" xfId="0" applyFont="1" applyBorder="1" applyAlignment="1" applyProtection="1">
      <alignment horizontal="center" vertical="center" wrapText="1"/>
      <protection locked="0"/>
    </xf>
    <xf numFmtId="0" fontId="5" fillId="17" borderId="3" xfId="0" applyFont="1" applyFill="1" applyBorder="1" applyAlignment="1" applyProtection="1">
      <alignment horizontal="center" vertical="center" wrapText="1"/>
      <protection locked="0"/>
    </xf>
    <xf numFmtId="168" fontId="64" fillId="0" borderId="22" xfId="6" applyNumberFormat="1" applyFont="1" applyFill="1" applyBorder="1" applyAlignment="1" applyProtection="1">
      <alignment horizontal="center" vertical="center" wrapText="1"/>
      <protection locked="0"/>
    </xf>
    <xf numFmtId="0" fontId="66" fillId="0" borderId="2" xfId="0" applyFont="1" applyBorder="1" applyAlignment="1">
      <alignment horizontal="center"/>
    </xf>
    <xf numFmtId="165" fontId="5" fillId="6" borderId="6" xfId="0" applyNumberFormat="1" applyFont="1" applyFill="1" applyBorder="1" applyAlignment="1">
      <alignment horizontal="center" vertical="center" wrapText="1"/>
    </xf>
    <xf numFmtId="165" fontId="7" fillId="0" borderId="4" xfId="2" applyNumberFormat="1" applyBorder="1" applyAlignment="1">
      <alignment horizontal="center" vertical="center" wrapText="1"/>
    </xf>
    <xf numFmtId="165" fontId="7" fillId="0" borderId="16" xfId="2" applyNumberFormat="1" applyBorder="1" applyAlignment="1">
      <alignment horizontal="center" vertical="center" wrapText="1"/>
    </xf>
    <xf numFmtId="14" fontId="55" fillId="0" borderId="4" xfId="0" applyNumberFormat="1" applyFont="1" applyBorder="1" applyAlignment="1" applyProtection="1">
      <alignment horizontal="center" vertical="center" wrapText="1"/>
      <protection locked="0"/>
    </xf>
    <xf numFmtId="0" fontId="5" fillId="15" borderId="6"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top" wrapText="1"/>
      <protection locked="0"/>
    </xf>
    <xf numFmtId="165" fontId="7" fillId="0" borderId="20" xfId="2" applyNumberFormat="1" applyBorder="1" applyAlignment="1">
      <alignment horizontal="center" vertical="center" wrapText="1"/>
    </xf>
    <xf numFmtId="14" fontId="5" fillId="15" borderId="6" xfId="0" applyNumberFormat="1" applyFont="1" applyFill="1" applyBorder="1" applyAlignment="1" applyProtection="1">
      <alignment horizontal="center" vertical="center" wrapText="1"/>
      <protection locked="0"/>
    </xf>
    <xf numFmtId="0" fontId="0" fillId="0" borderId="23" xfId="0" applyBorder="1"/>
    <xf numFmtId="167" fontId="53" fillId="0" borderId="7" xfId="0" applyNumberFormat="1" applyFont="1" applyBorder="1" applyAlignment="1" applyProtection="1">
      <alignment horizontal="center" vertical="center" wrapText="1"/>
      <protection locked="0"/>
    </xf>
    <xf numFmtId="0" fontId="7" fillId="0" borderId="4" xfId="2" applyBorder="1" applyAlignment="1" applyProtection="1">
      <alignment horizontal="center" vertical="center" wrapText="1"/>
      <protection locked="0"/>
    </xf>
    <xf numFmtId="0" fontId="7" fillId="0" borderId="16" xfId="2" applyBorder="1" applyAlignment="1">
      <alignment horizontal="left" vertical="center" wrapText="1"/>
    </xf>
    <xf numFmtId="0" fontId="55" fillId="0" borderId="4" xfId="0" applyFont="1" applyBorder="1" applyAlignment="1" applyProtection="1">
      <alignment horizontal="center" vertical="center" wrapText="1"/>
      <protection locked="0"/>
    </xf>
    <xf numFmtId="0" fontId="7" fillId="7" borderId="7" xfId="0" applyFont="1" applyFill="1" applyBorder="1" applyAlignment="1">
      <alignment horizontal="center" vertical="center" wrapText="1"/>
    </xf>
    <xf numFmtId="0" fontId="64" fillId="23" borderId="0" xfId="0" applyFont="1" applyFill="1" applyAlignment="1" applyProtection="1">
      <alignment horizontal="left" vertical="center" wrapText="1"/>
      <protection locked="0"/>
    </xf>
    <xf numFmtId="0" fontId="7" fillId="0" borderId="6" xfId="2" applyBorder="1" applyAlignment="1" applyProtection="1">
      <alignment horizontal="center" vertical="center" wrapText="1"/>
      <protection locked="0"/>
    </xf>
    <xf numFmtId="14" fontId="34" fillId="0" borderId="6" xfId="0" applyNumberFormat="1" applyFont="1" applyBorder="1" applyAlignment="1" applyProtection="1">
      <alignment horizontal="center" vertical="center" wrapText="1"/>
      <protection locked="0"/>
    </xf>
    <xf numFmtId="0" fontId="0" fillId="0" borderId="4" xfId="0" applyBorder="1"/>
    <xf numFmtId="0" fontId="64" fillId="23" borderId="0" xfId="0" applyFont="1" applyFill="1" applyAlignment="1" applyProtection="1">
      <alignment horizontal="center" vertical="center" wrapText="1"/>
      <protection locked="0"/>
    </xf>
    <xf numFmtId="0" fontId="0" fillId="0" borderId="15" xfId="0" applyBorder="1"/>
    <xf numFmtId="0" fontId="64" fillId="0" borderId="17" xfId="0" applyFont="1" applyBorder="1" applyAlignment="1">
      <alignment horizontal="center"/>
    </xf>
    <xf numFmtId="167" fontId="64" fillId="15" borderId="0" xfId="0" applyNumberFormat="1" applyFont="1" applyFill="1" applyAlignment="1" applyProtection="1">
      <alignment horizontal="center" vertical="center" wrapText="1"/>
      <protection locked="0"/>
    </xf>
    <xf numFmtId="0" fontId="16" fillId="0" borderId="0" xfId="0" applyFont="1" applyProtection="1">
      <protection locked="0"/>
    </xf>
    <xf numFmtId="0" fontId="17" fillId="0" borderId="2" xfId="0" applyFont="1" applyBorder="1" applyProtection="1">
      <protection locked="0"/>
    </xf>
    <xf numFmtId="0" fontId="5" fillId="0" borderId="2" xfId="0" applyFont="1" applyBorder="1" applyAlignment="1">
      <alignment horizontal="left" vertical="top"/>
    </xf>
    <xf numFmtId="167" fontId="64" fillId="23" borderId="0" xfId="0" applyNumberFormat="1" applyFont="1" applyFill="1" applyAlignment="1">
      <alignment horizontal="center" vertical="center"/>
    </xf>
    <xf numFmtId="0" fontId="5" fillId="16" borderId="0" xfId="0" applyFont="1" applyFill="1" applyAlignment="1" applyProtection="1">
      <alignment horizontal="left" vertical="center" wrapText="1"/>
      <protection locked="0"/>
    </xf>
    <xf numFmtId="167" fontId="14" fillId="0" borderId="1" xfId="0" applyNumberFormat="1" applyFont="1" applyBorder="1" applyAlignment="1" applyProtection="1">
      <alignment horizontal="center" vertical="center" wrapText="1"/>
      <protection locked="0"/>
    </xf>
    <xf numFmtId="0" fontId="17" fillId="0" borderId="2" xfId="0" applyFont="1" applyBorder="1" applyAlignment="1">
      <alignment horizontal="center" vertical="center"/>
    </xf>
    <xf numFmtId="165" fontId="63" fillId="0" borderId="0" xfId="6" applyNumberFormat="1" applyFont="1" applyBorder="1" applyAlignment="1" applyProtection="1">
      <alignment horizontal="left" vertical="center"/>
      <protection locked="0"/>
    </xf>
    <xf numFmtId="167" fontId="64" fillId="0" borderId="25" xfId="0" applyNumberFormat="1" applyFont="1" applyBorder="1" applyAlignment="1">
      <alignment horizontal="center" vertical="center"/>
    </xf>
    <xf numFmtId="14" fontId="5" fillId="0" borderId="4" xfId="0" applyNumberFormat="1" applyFont="1" applyBorder="1" applyAlignment="1" applyProtection="1">
      <alignment horizontal="center" vertical="center" wrapText="1"/>
      <protection locked="0"/>
    </xf>
    <xf numFmtId="0" fontId="0" fillId="0" borderId="25" xfId="0" applyBorder="1"/>
    <xf numFmtId="165" fontId="64" fillId="23" borderId="0" xfId="0" applyNumberFormat="1" applyFont="1" applyFill="1" applyAlignment="1" applyProtection="1">
      <alignment horizontal="left" vertical="center" wrapText="1"/>
      <protection locked="0"/>
    </xf>
    <xf numFmtId="14" fontId="5" fillId="0" borderId="2" xfId="0" applyNumberFormat="1" applyFont="1" applyBorder="1" applyAlignment="1" applyProtection="1">
      <alignment vertical="center" wrapText="1"/>
      <protection locked="0"/>
    </xf>
    <xf numFmtId="14" fontId="63" fillId="0" borderId="0" xfId="6" applyNumberFormat="1" applyFont="1" applyFill="1" applyBorder="1" applyAlignment="1">
      <alignment horizontal="center" vertical="center" wrapText="1"/>
    </xf>
    <xf numFmtId="49" fontId="28" fillId="0" borderId="0" xfId="0" applyNumberFormat="1" applyFont="1" applyAlignment="1" applyProtection="1">
      <alignment horizontal="left" vertical="center"/>
      <protection locked="0"/>
    </xf>
    <xf numFmtId="0" fontId="66" fillId="0" borderId="0" xfId="0" applyFont="1" applyAlignment="1">
      <alignment horizontal="left" vertical="center" wrapText="1"/>
    </xf>
    <xf numFmtId="0" fontId="0" fillId="0" borderId="9" xfId="0" applyBorder="1"/>
    <xf numFmtId="49" fontId="4" fillId="0" borderId="2" xfId="0" applyNumberFormat="1" applyFont="1" applyBorder="1" applyAlignment="1" applyProtection="1">
      <alignment horizontal="left" vertical="center" wrapText="1"/>
      <protection locked="0"/>
    </xf>
    <xf numFmtId="14" fontId="64" fillId="0" borderId="0" xfId="2" applyNumberFormat="1" applyFont="1" applyAlignment="1">
      <alignment horizontal="left" vertical="top" wrapText="1"/>
    </xf>
    <xf numFmtId="0" fontId="0" fillId="0" borderId="28" xfId="0" applyBorder="1"/>
    <xf numFmtId="49" fontId="5" fillId="0" borderId="2" xfId="0" applyNumberFormat="1" applyFont="1" applyBorder="1" applyAlignment="1" applyProtection="1">
      <alignment horizontal="left" wrapText="1"/>
      <protection locked="0"/>
    </xf>
    <xf numFmtId="14" fontId="64" fillId="0" borderId="21" xfId="0" applyNumberFormat="1" applyFont="1" applyBorder="1" applyAlignment="1" applyProtection="1">
      <alignment horizontal="left" vertical="center" wrapText="1"/>
      <protection locked="0"/>
    </xf>
    <xf numFmtId="0" fontId="68" fillId="0" borderId="21" xfId="0" applyFont="1" applyBorder="1" applyAlignment="1">
      <alignment horizontal="left" vertical="center" wrapText="1"/>
    </xf>
    <xf numFmtId="0" fontId="5" fillId="0" borderId="5" xfId="0" applyFont="1" applyBorder="1" applyAlignment="1" applyProtection="1">
      <alignment horizontal="left" vertical="center"/>
      <protection locked="0"/>
    </xf>
    <xf numFmtId="14" fontId="72" fillId="0" borderId="0" xfId="0" applyNumberFormat="1" applyFont="1" applyAlignment="1">
      <alignment horizontal="center" vertical="center"/>
    </xf>
    <xf numFmtId="0" fontId="64" fillId="2" borderId="0" xfId="0" applyFont="1" applyFill="1" applyAlignment="1">
      <alignment horizontal="center" vertical="center" wrapText="1"/>
    </xf>
    <xf numFmtId="0" fontId="0" fillId="0" borderId="10" xfId="0" applyBorder="1"/>
    <xf numFmtId="6" fontId="64" fillId="0" borderId="2" xfId="0" applyNumberFormat="1" applyFont="1" applyBorder="1" applyAlignment="1">
      <alignment horizontal="center"/>
    </xf>
    <xf numFmtId="6" fontId="64" fillId="0" borderId="12" xfId="0" applyNumberFormat="1" applyFont="1" applyBorder="1" applyAlignment="1">
      <alignment horizontal="center"/>
    </xf>
    <xf numFmtId="167" fontId="5" fillId="0" borderId="12" xfId="0" applyNumberFormat="1" applyFont="1" applyBorder="1" applyAlignment="1" applyProtection="1">
      <alignment horizontal="center" vertical="center"/>
      <protection locked="0"/>
    </xf>
    <xf numFmtId="168" fontId="5" fillId="0" borderId="5" xfId="6" applyNumberFormat="1" applyFont="1" applyFill="1" applyBorder="1" applyAlignment="1" applyProtection="1">
      <alignment horizontal="center" vertical="center" wrapText="1"/>
      <protection locked="0"/>
    </xf>
    <xf numFmtId="168" fontId="64" fillId="2" borderId="4" xfId="0" applyNumberFormat="1" applyFont="1" applyFill="1" applyBorder="1" applyAlignment="1" applyProtection="1">
      <alignment horizontal="center" vertical="center"/>
      <protection locked="0"/>
    </xf>
    <xf numFmtId="168" fontId="5" fillId="0" borderId="12" xfId="0" applyNumberFormat="1" applyFont="1" applyBorder="1" applyAlignment="1" applyProtection="1">
      <alignment horizontal="center" wrapText="1"/>
      <protection locked="0"/>
    </xf>
    <xf numFmtId="167" fontId="5" fillId="0" borderId="5" xfId="0" applyNumberFormat="1" applyFont="1" applyBorder="1" applyAlignment="1" applyProtection="1">
      <alignment horizontal="center" vertical="center"/>
      <protection locked="0"/>
    </xf>
    <xf numFmtId="0" fontId="32" fillId="0" borderId="4" xfId="0" applyFont="1" applyBorder="1" applyAlignment="1">
      <alignment horizontal="center" vertical="center"/>
    </xf>
    <xf numFmtId="0" fontId="7" fillId="0" borderId="10" xfId="0" applyFont="1" applyBorder="1" applyAlignment="1">
      <alignment horizontal="center" vertical="center" wrapText="1"/>
    </xf>
    <xf numFmtId="0" fontId="5" fillId="0" borderId="3" xfId="0" applyFont="1" applyBorder="1" applyAlignment="1" applyProtection="1">
      <alignment horizontal="center" wrapText="1"/>
      <protection locked="0"/>
    </xf>
    <xf numFmtId="0" fontId="55" fillId="0" borderId="3" xfId="0" applyFont="1" applyBorder="1" applyAlignment="1" applyProtection="1">
      <alignment horizontal="left" vertical="center" wrapText="1"/>
      <protection locked="0"/>
    </xf>
    <xf numFmtId="0" fontId="7" fillId="0" borderId="6" xfId="0" applyFont="1" applyBorder="1" applyAlignment="1">
      <alignment vertical="center" wrapText="1"/>
    </xf>
    <xf numFmtId="0" fontId="7" fillId="10" borderId="7" xfId="0" applyFont="1" applyFill="1" applyBorder="1" applyAlignment="1" applyProtection="1">
      <alignment vertical="center" wrapText="1"/>
      <protection locked="0"/>
    </xf>
    <xf numFmtId="0" fontId="64" fillId="0" borderId="12" xfId="2" applyFont="1" applyBorder="1" applyAlignment="1">
      <alignment vertical="center" wrapText="1"/>
    </xf>
    <xf numFmtId="0" fontId="7" fillId="0" borderId="5" xfId="2" applyBorder="1" applyAlignment="1">
      <alignment vertical="center" wrapText="1"/>
    </xf>
    <xf numFmtId="0" fontId="34" fillId="0" borderId="4" xfId="0" applyFont="1" applyBorder="1" applyAlignment="1">
      <alignment vertical="center" wrapText="1"/>
    </xf>
    <xf numFmtId="0" fontId="34" fillId="0" borderId="12" xfId="0" applyFont="1" applyBorder="1" applyAlignment="1">
      <alignment wrapText="1"/>
    </xf>
    <xf numFmtId="0" fontId="55" fillId="0" borderId="3" xfId="0" applyFont="1" applyBorder="1" applyAlignment="1" applyProtection="1">
      <alignment vertical="center" wrapText="1"/>
      <protection locked="0"/>
    </xf>
    <xf numFmtId="0" fontId="32" fillId="0" borderId="4" xfId="0" applyFont="1" applyBorder="1" applyAlignment="1">
      <alignment vertical="center" wrapText="1"/>
    </xf>
    <xf numFmtId="0" fontId="53" fillId="0" borderId="12" xfId="0" applyFont="1" applyBorder="1" applyAlignment="1">
      <alignment horizontal="left" vertical="center" wrapText="1"/>
    </xf>
    <xf numFmtId="0" fontId="34" fillId="0" borderId="15" xfId="0" applyFont="1" applyBorder="1" applyAlignment="1">
      <alignment horizontal="left" wrapText="1"/>
    </xf>
    <xf numFmtId="0" fontId="55" fillId="0" borderId="10" xfId="0" applyFont="1" applyBorder="1" applyAlignment="1" applyProtection="1">
      <alignment horizontal="left" vertical="center" wrapText="1"/>
      <protection locked="0"/>
    </xf>
    <xf numFmtId="0" fontId="32" fillId="0" borderId="4" xfId="0" applyFont="1" applyBorder="1" applyAlignment="1">
      <alignment horizontal="center" vertical="center" wrapText="1"/>
    </xf>
    <xf numFmtId="0" fontId="34" fillId="0" borderId="12" xfId="0" applyFont="1" applyBorder="1" applyAlignment="1">
      <alignment horizontal="left" vertical="center" wrapText="1"/>
    </xf>
    <xf numFmtId="0" fontId="63" fillId="0" borderId="25" xfId="0" applyFont="1" applyBorder="1" applyAlignment="1">
      <alignment horizontal="center" vertical="center" wrapText="1"/>
    </xf>
    <xf numFmtId="14" fontId="34" fillId="0" borderId="14" xfId="0" applyNumberFormat="1" applyFont="1" applyBorder="1" applyAlignment="1">
      <alignment horizontal="center" vertical="center"/>
    </xf>
    <xf numFmtId="15" fontId="55" fillId="0" borderId="3" xfId="0" applyNumberFormat="1" applyFont="1" applyBorder="1" applyAlignment="1" applyProtection="1">
      <alignment horizontal="center" vertical="center" wrapText="1"/>
      <protection locked="0"/>
    </xf>
    <xf numFmtId="14" fontId="7" fillId="0" borderId="4" xfId="0" quotePrefix="1" applyNumberFormat="1" applyFont="1" applyBorder="1" applyAlignment="1" applyProtection="1">
      <alignment horizontal="center" vertical="center" wrapText="1"/>
      <protection locked="0"/>
    </xf>
    <xf numFmtId="14" fontId="5" fillId="0" borderId="21" xfId="0" applyNumberFormat="1" applyFont="1" applyBorder="1" applyAlignment="1" applyProtection="1">
      <alignment horizontal="center" vertical="center" wrapText="1"/>
      <protection locked="0"/>
    </xf>
    <xf numFmtId="165" fontId="7" fillId="0" borderId="15" xfId="0" applyNumberFormat="1" applyFont="1" applyBorder="1" applyAlignment="1">
      <alignment horizontal="center" vertical="center" wrapText="1"/>
    </xf>
    <xf numFmtId="14" fontId="34" fillId="0" borderId="23" xfId="0" applyNumberFormat="1" applyFont="1" applyBorder="1" applyAlignment="1">
      <alignment horizontal="center" vertical="center"/>
    </xf>
    <xf numFmtId="165" fontId="7" fillId="0" borderId="0" xfId="0" applyNumberFormat="1" applyFont="1" applyAlignment="1">
      <alignment horizontal="center" vertical="center" wrapText="1"/>
    </xf>
    <xf numFmtId="14" fontId="32" fillId="0" borderId="4" xfId="0" applyNumberFormat="1" applyFont="1" applyBorder="1" applyAlignment="1">
      <alignment horizontal="center" vertical="center"/>
    </xf>
    <xf numFmtId="14" fontId="7" fillId="0" borderId="0" xfId="2" applyNumberFormat="1" applyAlignment="1">
      <alignment horizontal="center" vertical="center" wrapText="1"/>
    </xf>
    <xf numFmtId="1" fontId="7" fillId="0" borderId="0" xfId="2" applyNumberFormat="1" applyAlignment="1">
      <alignment horizontal="center" vertical="center" wrapText="1"/>
    </xf>
    <xf numFmtId="14" fontId="63" fillId="0" borderId="14" xfId="6" applyNumberFormat="1" applyFont="1" applyBorder="1" applyAlignment="1">
      <alignment horizontal="center" vertical="center" wrapText="1"/>
    </xf>
    <xf numFmtId="164" fontId="7" fillId="0" borderId="4" xfId="0" applyNumberFormat="1" applyFont="1" applyBorder="1" applyAlignment="1" applyProtection="1">
      <alignment horizontal="right" vertical="center" wrapText="1"/>
      <protection locked="0"/>
    </xf>
    <xf numFmtId="168" fontId="5" fillId="14" borderId="1" xfId="0" applyNumberFormat="1" applyFont="1" applyFill="1" applyBorder="1" applyAlignment="1">
      <alignment horizontal="left" vertical="top"/>
    </xf>
    <xf numFmtId="164" fontId="7" fillId="0" borderId="4" xfId="6" applyNumberFormat="1" applyFont="1" applyFill="1" applyBorder="1" applyAlignment="1">
      <alignment horizontal="right" vertical="center" wrapText="1"/>
    </xf>
    <xf numFmtId="14" fontId="64" fillId="0" borderId="14" xfId="2" applyNumberFormat="1" applyFont="1" applyBorder="1" applyAlignment="1">
      <alignment vertical="top" wrapText="1"/>
    </xf>
    <xf numFmtId="164" fontId="7" fillId="0" borderId="0" xfId="6" applyNumberFormat="1" applyFont="1" applyFill="1" applyBorder="1" applyAlignment="1" applyProtection="1">
      <alignment horizontal="center" vertical="center" wrapText="1"/>
      <protection locked="0"/>
    </xf>
    <xf numFmtId="8" fontId="32" fillId="0" borderId="4" xfId="0" applyNumberFormat="1" applyFont="1" applyBorder="1" applyAlignment="1">
      <alignment horizontal="center" vertical="center"/>
    </xf>
    <xf numFmtId="164" fontId="7" fillId="0" borderId="24" xfId="6" applyNumberFormat="1" applyFont="1" applyFill="1" applyBorder="1" applyAlignment="1">
      <alignment horizontal="center" vertical="center" wrapText="1"/>
    </xf>
    <xf numFmtId="43" fontId="34" fillId="0" borderId="4" xfId="7" applyFont="1" applyFill="1" applyBorder="1" applyAlignment="1">
      <alignment horizontal="right" vertical="center"/>
    </xf>
    <xf numFmtId="165" fontId="34" fillId="0" borderId="7" xfId="6" applyNumberFormat="1" applyFont="1" applyFill="1" applyBorder="1" applyAlignment="1" applyProtection="1">
      <alignment horizontal="center" vertical="center" wrapText="1"/>
      <protection locked="0"/>
    </xf>
    <xf numFmtId="14" fontId="64" fillId="2" borderId="14" xfId="2" applyNumberFormat="1" applyFont="1" applyFill="1" applyBorder="1" applyAlignment="1">
      <alignment horizontal="center" vertical="center" wrapText="1"/>
    </xf>
    <xf numFmtId="166" fontId="5" fillId="0" borderId="3" xfId="0" applyNumberFormat="1" applyFont="1" applyBorder="1" applyAlignment="1" applyProtection="1">
      <alignment horizontal="center" vertical="center" wrapText="1"/>
      <protection locked="0"/>
    </xf>
    <xf numFmtId="165" fontId="5" fillId="6" borderId="12" xfId="0" applyNumberFormat="1" applyFont="1" applyFill="1" applyBorder="1" applyAlignment="1">
      <alignment horizontal="center" vertical="center" wrapText="1"/>
    </xf>
    <xf numFmtId="167" fontId="7" fillId="0" borderId="3" xfId="0" applyNumberFormat="1" applyFont="1" applyBorder="1" applyAlignment="1" applyProtection="1">
      <alignment horizontal="center" vertical="center" wrapText="1"/>
      <protection locked="0"/>
    </xf>
    <xf numFmtId="0" fontId="55" fillId="0" borderId="3" xfId="0" applyFont="1" applyBorder="1" applyAlignment="1" applyProtection="1">
      <alignment horizontal="center" vertical="center" wrapText="1"/>
      <protection locked="0"/>
    </xf>
    <xf numFmtId="0" fontId="5" fillId="14" borderId="0" xfId="0" applyFont="1" applyFill="1" applyAlignment="1">
      <alignment horizontal="left" vertical="top" wrapText="1"/>
    </xf>
    <xf numFmtId="0" fontId="64" fillId="0" borderId="14" xfId="0" applyFont="1" applyBorder="1" applyAlignment="1">
      <alignment vertical="top"/>
    </xf>
    <xf numFmtId="0" fontId="5" fillId="14" borderId="0" xfId="0" applyFont="1" applyFill="1" applyAlignment="1">
      <alignment horizontal="left" vertical="top"/>
    </xf>
    <xf numFmtId="0" fontId="64" fillId="0" borderId="15" xfId="0" applyFont="1" applyBorder="1" applyAlignment="1">
      <alignment vertical="top"/>
    </xf>
    <xf numFmtId="14" fontId="5" fillId="14" borderId="0" xfId="0" applyNumberFormat="1" applyFont="1" applyFill="1" applyAlignment="1" applyProtection="1">
      <alignment horizontal="left" vertical="top" wrapText="1"/>
      <protection locked="0"/>
    </xf>
    <xf numFmtId="14" fontId="63" fillId="10" borderId="25" xfId="6" applyNumberFormat="1" applyFont="1" applyFill="1" applyBorder="1" applyAlignment="1">
      <alignment horizontal="center" vertical="center" wrapText="1"/>
    </xf>
    <xf numFmtId="49" fontId="5" fillId="0" borderId="0" xfId="0" applyNumberFormat="1" applyFont="1" applyAlignment="1" applyProtection="1">
      <alignment horizontal="center" vertical="center"/>
      <protection locked="0"/>
    </xf>
    <xf numFmtId="0" fontId="64" fillId="0" borderId="13" xfId="0" applyFont="1" applyBorder="1" applyAlignment="1">
      <alignment vertical="top"/>
    </xf>
    <xf numFmtId="14" fontId="63" fillId="0" borderId="21" xfId="6" applyNumberFormat="1" applyFont="1" applyFill="1" applyBorder="1" applyAlignment="1" applyProtection="1">
      <alignment horizontal="center" vertical="center" wrapText="1"/>
      <protection locked="0"/>
    </xf>
    <xf numFmtId="0" fontId="32" fillId="0" borderId="4" xfId="0" applyFont="1" applyBorder="1" applyAlignment="1">
      <alignment horizontal="left" vertical="center"/>
    </xf>
    <xf numFmtId="0" fontId="0" fillId="0" borderId="2" xfId="0" applyBorder="1" applyProtection="1">
      <protection locked="0"/>
    </xf>
    <xf numFmtId="0" fontId="5" fillId="0" borderId="21"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protection locked="0"/>
    </xf>
    <xf numFmtId="0" fontId="64" fillId="0" borderId="21" xfId="0" applyFont="1" applyBorder="1" applyAlignment="1">
      <alignment vertical="top"/>
    </xf>
    <xf numFmtId="0" fontId="64" fillId="0" borderId="2" xfId="0" applyFont="1" applyBorder="1"/>
    <xf numFmtId="0" fontId="70" fillId="24" borderId="0" xfId="0" applyFont="1" applyFill="1"/>
    <xf numFmtId="0" fontId="74" fillId="28" borderId="7" xfId="0" applyFont="1" applyFill="1" applyBorder="1" applyAlignment="1">
      <alignment wrapText="1"/>
    </xf>
    <xf numFmtId="165" fontId="7" fillId="0" borderId="0" xfId="2" applyNumberFormat="1" applyAlignment="1">
      <alignment horizontal="center" vertical="center" wrapText="1"/>
    </xf>
    <xf numFmtId="0" fontId="64" fillId="0" borderId="23" xfId="0" applyFont="1" applyBorder="1" applyAlignment="1">
      <alignment vertical="top"/>
    </xf>
    <xf numFmtId="165" fontId="5" fillId="6" borderId="23" xfId="0" applyNumberFormat="1" applyFont="1" applyFill="1" applyBorder="1" applyAlignment="1">
      <alignment horizontal="center" vertical="center" wrapText="1"/>
    </xf>
    <xf numFmtId="14" fontId="7" fillId="0" borderId="23" xfId="0" applyNumberFormat="1" applyFont="1" applyBorder="1" applyAlignment="1" applyProtection="1">
      <alignment horizontal="center" vertical="center" wrapText="1"/>
      <protection locked="0"/>
    </xf>
    <xf numFmtId="0" fontId="34" fillId="0" borderId="23" xfId="0" applyFont="1" applyBorder="1" applyAlignment="1">
      <alignment horizontal="center" vertical="center"/>
    </xf>
    <xf numFmtId="0" fontId="64" fillId="0" borderId="1" xfId="6" applyNumberFormat="1" applyFont="1" applyFill="1" applyBorder="1" applyAlignment="1" applyProtection="1">
      <alignment horizontal="center" vertical="center" wrapText="1"/>
      <protection locked="0"/>
    </xf>
    <xf numFmtId="0" fontId="1" fillId="0" borderId="1" xfId="0" applyFont="1" applyBorder="1" applyAlignment="1">
      <alignment horizontal="left" vertical="center" wrapText="1"/>
    </xf>
    <xf numFmtId="14" fontId="1" fillId="0" borderId="1" xfId="0" applyNumberFormat="1" applyFont="1" applyBorder="1" applyAlignment="1">
      <alignment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vertical="center" wrapText="1"/>
    </xf>
    <xf numFmtId="14"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xf numFmtId="0" fontId="1" fillId="0" borderId="1" xfId="0" applyFont="1" applyBorder="1"/>
    <xf numFmtId="168" fontId="1" fillId="0" borderId="1" xfId="0" applyNumberFormat="1" applyFont="1" applyBorder="1" applyAlignment="1">
      <alignment horizontal="center" vertical="center" wrapText="1"/>
    </xf>
    <xf numFmtId="168" fontId="1" fillId="0" borderId="1" xfId="0" applyNumberFormat="1" applyFont="1" applyBorder="1" applyAlignment="1">
      <alignment horizontal="center" vertical="center"/>
    </xf>
    <xf numFmtId="0" fontId="1" fillId="0" borderId="3"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horizontal="center" vertical="center"/>
    </xf>
    <xf numFmtId="6" fontId="1" fillId="0" borderId="1" xfId="0" applyNumberFormat="1" applyFont="1" applyBorder="1" applyAlignment="1">
      <alignment horizontal="center"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Protection="1">
      <protection locked="0"/>
    </xf>
    <xf numFmtId="0" fontId="1" fillId="0" borderId="6" xfId="0" applyFont="1" applyBorder="1" applyAlignment="1">
      <alignment horizontal="center" vertical="center"/>
    </xf>
    <xf numFmtId="0" fontId="1" fillId="0" borderId="0" xfId="0" applyFont="1"/>
    <xf numFmtId="0" fontId="1" fillId="0" borderId="12" xfId="0" applyFont="1" applyBorder="1" applyAlignment="1">
      <alignment vertical="center"/>
    </xf>
    <xf numFmtId="0" fontId="1" fillId="0" borderId="1" xfId="0" applyFont="1" applyBorder="1" applyAlignment="1" applyProtection="1">
      <alignment vertical="center"/>
      <protection locked="0"/>
    </xf>
    <xf numFmtId="14" fontId="1" fillId="0" borderId="0" xfId="0" applyNumberFormat="1" applyFont="1" applyAlignment="1">
      <alignment vertical="center"/>
    </xf>
    <xf numFmtId="14" fontId="1" fillId="0" borderId="0" xfId="0" applyNumberFormat="1" applyFont="1"/>
    <xf numFmtId="0" fontId="1" fillId="0" borderId="1" xfId="0" applyFont="1" applyBorder="1" applyAlignment="1" applyProtection="1">
      <alignment horizontal="left" vertical="center"/>
      <protection locked="0"/>
    </xf>
    <xf numFmtId="6" fontId="1" fillId="0" borderId="1" xfId="6" applyNumberFormat="1" applyFont="1" applyFill="1" applyBorder="1" applyAlignment="1" applyProtection="1">
      <alignment horizontal="center" vertical="center"/>
    </xf>
    <xf numFmtId="8" fontId="1" fillId="0" borderId="0" xfId="0" applyNumberFormat="1" applyFont="1" applyAlignment="1">
      <alignment horizontal="center" vertical="center"/>
    </xf>
    <xf numFmtId="168" fontId="1" fillId="0" borderId="0" xfId="0" applyNumberFormat="1" applyFont="1" applyAlignment="1">
      <alignment horizontal="center" vertical="center" wrapText="1"/>
    </xf>
    <xf numFmtId="14" fontId="1" fillId="0" borderId="0" xfId="0" applyNumberFormat="1" applyFont="1" applyAlignment="1">
      <alignment horizontal="center" vertical="center"/>
    </xf>
    <xf numFmtId="0" fontId="1" fillId="0" borderId="23" xfId="0" applyFont="1" applyBorder="1" applyAlignment="1">
      <alignment vertical="center"/>
    </xf>
    <xf numFmtId="0" fontId="1" fillId="0" borderId="4" xfId="0" applyFont="1" applyBorder="1" applyAlignment="1">
      <alignment vertical="center"/>
    </xf>
    <xf numFmtId="167" fontId="1" fillId="0" borderId="0" xfId="0" applyNumberFormat="1" applyFont="1" applyAlignment="1">
      <alignment horizontal="center" vertical="center" wrapText="1"/>
    </xf>
    <xf numFmtId="0" fontId="1" fillId="4" borderId="1" xfId="0" applyFont="1" applyFill="1" applyBorder="1" applyAlignment="1">
      <alignment vertical="center"/>
    </xf>
    <xf numFmtId="0" fontId="1" fillId="4" borderId="1"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41" fillId="27" borderId="1" xfId="0" applyFont="1" applyFill="1" applyBorder="1" applyAlignment="1">
      <alignment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3" xfId="0" applyFont="1" applyBorder="1"/>
    <xf numFmtId="0" fontId="1" fillId="0" borderId="1" xfId="0" applyFont="1" applyBorder="1" applyAlignment="1">
      <alignment horizontal="center"/>
    </xf>
    <xf numFmtId="6" fontId="1" fillId="0" borderId="1" xfId="0" applyNumberFormat="1" applyFont="1" applyBorder="1"/>
    <xf numFmtId="0" fontId="1" fillId="0" borderId="1" xfId="0" applyFont="1" applyBorder="1" applyAlignment="1">
      <alignment wrapText="1"/>
    </xf>
    <xf numFmtId="167" fontId="1" fillId="0" borderId="2" xfId="0" applyNumberFormat="1" applyFont="1" applyBorder="1"/>
    <xf numFmtId="0" fontId="1" fillId="0" borderId="2" xfId="0" applyFont="1" applyBorder="1"/>
    <xf numFmtId="49" fontId="1" fillId="0" borderId="1" xfId="0" applyNumberFormat="1"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0" fontId="1" fillId="0" borderId="12" xfId="0" applyFont="1" applyBorder="1" applyProtection="1">
      <protection locked="0"/>
    </xf>
    <xf numFmtId="0" fontId="1" fillId="0" borderId="12" xfId="0" applyFont="1" applyBorder="1" applyAlignment="1" applyProtection="1">
      <alignment horizontal="center" wrapText="1"/>
      <protection locked="0"/>
    </xf>
    <xf numFmtId="0" fontId="1" fillId="0" borderId="12" xfId="0" applyFont="1" applyBorder="1" applyAlignment="1" applyProtection="1">
      <alignment horizontal="center"/>
      <protection locked="0"/>
    </xf>
    <xf numFmtId="0" fontId="1" fillId="0" borderId="12" xfId="0" applyFont="1" applyBorder="1" applyAlignment="1" applyProtection="1">
      <alignment wrapText="1"/>
      <protection locked="0"/>
    </xf>
    <xf numFmtId="14" fontId="1" fillId="0" borderId="12" xfId="0" applyNumberFormat="1" applyFont="1" applyBorder="1" applyAlignment="1" applyProtection="1">
      <alignment horizontal="center"/>
      <protection locked="0"/>
    </xf>
    <xf numFmtId="0" fontId="1" fillId="0" borderId="12" xfId="0" applyFont="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wrapText="1"/>
      <protection locked="0"/>
    </xf>
    <xf numFmtId="0" fontId="1" fillId="0" borderId="12" xfId="0" applyFont="1" applyBorder="1" applyAlignment="1" applyProtection="1">
      <alignment horizontal="left"/>
      <protection locked="0"/>
    </xf>
    <xf numFmtId="167" fontId="1" fillId="0" borderId="12" xfId="0" applyNumberFormat="1" applyFont="1" applyBorder="1" applyProtection="1">
      <protection locked="0"/>
    </xf>
    <xf numFmtId="0" fontId="1" fillId="0" borderId="3" xfId="0" applyFont="1" applyBorder="1" applyProtection="1">
      <protection locked="0"/>
    </xf>
    <xf numFmtId="0" fontId="1" fillId="0" borderId="1" xfId="0" applyFont="1" applyBorder="1" applyAlignment="1" applyProtection="1">
      <alignment horizontal="center" wrapText="1"/>
      <protection locked="0"/>
    </xf>
    <xf numFmtId="0" fontId="1" fillId="0" borderId="1" xfId="0" applyFont="1" applyBorder="1" applyAlignment="1" applyProtection="1">
      <alignment horizontal="center"/>
      <protection locked="0"/>
    </xf>
    <xf numFmtId="0" fontId="1" fillId="0" borderId="1" xfId="0" applyFont="1" applyBorder="1" applyAlignment="1" applyProtection="1">
      <alignment wrapText="1"/>
      <protection locked="0"/>
    </xf>
    <xf numFmtId="14" fontId="1" fillId="0" borderId="1" xfId="0" applyNumberFormat="1" applyFont="1" applyBorder="1" applyAlignment="1" applyProtection="1">
      <alignment horizont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1" xfId="0" applyFont="1" applyBorder="1" applyProtection="1">
      <protection locked="0"/>
    </xf>
    <xf numFmtId="0" fontId="1" fillId="0" borderId="1" xfId="0" applyFont="1" applyBorder="1" applyAlignment="1" applyProtection="1">
      <alignment horizontal="left"/>
      <protection locked="0"/>
    </xf>
    <xf numFmtId="167" fontId="1" fillId="0" borderId="1" xfId="0" applyNumberFormat="1" applyFont="1" applyBorder="1" applyProtection="1">
      <protection locked="0"/>
    </xf>
    <xf numFmtId="0" fontId="1" fillId="0" borderId="1"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xf>
    <xf numFmtId="0" fontId="1" fillId="0" borderId="6" xfId="0" applyFont="1" applyBorder="1"/>
    <xf numFmtId="14" fontId="1" fillId="0" borderId="6" xfId="0" applyNumberFormat="1" applyFont="1" applyBorder="1" applyAlignment="1">
      <alignment horizontal="center" vertical="center"/>
    </xf>
    <xf numFmtId="0" fontId="1" fillId="0" borderId="5" xfId="0" applyFont="1" applyBorder="1" applyAlignment="1">
      <alignment horizontal="center" vertical="center"/>
    </xf>
    <xf numFmtId="6" fontId="1" fillId="0" borderId="6" xfId="0" applyNumberFormat="1" applyFont="1" applyBorder="1" applyAlignment="1">
      <alignment horizontal="center" vertical="center"/>
    </xf>
    <xf numFmtId="0" fontId="1" fillId="0" borderId="6" xfId="0" applyFont="1" applyBorder="1" applyAlignment="1">
      <alignment wrapText="1"/>
    </xf>
    <xf numFmtId="0" fontId="1" fillId="0" borderId="1" xfId="0" applyFont="1" applyBorder="1" applyAlignment="1" applyProtection="1">
      <alignment horizontal="left" wrapText="1"/>
      <protection locked="0"/>
    </xf>
    <xf numFmtId="168" fontId="1" fillId="0" borderId="1" xfId="0" applyNumberFormat="1" applyFont="1" applyBorder="1" applyAlignment="1" applyProtection="1">
      <alignment horizontal="center" vertical="center"/>
      <protection locked="0"/>
    </xf>
    <xf numFmtId="0" fontId="1" fillId="4" borderId="0" xfId="0" applyFont="1" applyFill="1"/>
    <xf numFmtId="0" fontId="1" fillId="0" borderId="5" xfId="0" applyFont="1" applyBorder="1" applyAlignment="1">
      <alignment horizontal="center" vertical="center" wrapText="1"/>
    </xf>
    <xf numFmtId="167" fontId="1" fillId="0" borderId="1" xfId="0" applyNumberFormat="1" applyFont="1" applyBorder="1"/>
    <xf numFmtId="167" fontId="1" fillId="0" borderId="1" xfId="0" applyNumberFormat="1" applyFont="1" applyBorder="1" applyAlignment="1">
      <alignment horizontal="center" vertical="center"/>
    </xf>
    <xf numFmtId="0" fontId="1" fillId="0" borderId="12" xfId="0" applyFont="1" applyBorder="1" applyAlignment="1" applyProtection="1">
      <alignment vertical="center"/>
      <protection locked="0"/>
    </xf>
    <xf numFmtId="0" fontId="1" fillId="9" borderId="12" xfId="0" applyFont="1" applyFill="1" applyBorder="1" applyAlignment="1" applyProtection="1">
      <alignment vertical="center" wrapText="1"/>
      <protection locked="0"/>
    </xf>
    <xf numFmtId="14" fontId="1" fillId="0" borderId="12" xfId="0" applyNumberFormat="1" applyFont="1" applyBorder="1" applyAlignment="1" applyProtection="1">
      <alignment horizontal="center" vertical="center"/>
      <protection locked="0"/>
    </xf>
    <xf numFmtId="0" fontId="1" fillId="0" borderId="12" xfId="0" applyFont="1" applyBorder="1" applyAlignment="1" applyProtection="1">
      <alignment vertical="center" wrapText="1"/>
      <protection locked="0"/>
    </xf>
    <xf numFmtId="0" fontId="1" fillId="0" borderId="7" xfId="0" applyFont="1" applyBorder="1" applyAlignment="1" applyProtection="1">
      <alignment vertical="center"/>
      <protection locked="0"/>
    </xf>
    <xf numFmtId="0" fontId="1" fillId="0" borderId="12" xfId="0" applyFont="1" applyBorder="1" applyAlignment="1" applyProtection="1">
      <alignment horizontal="left" vertical="center" wrapText="1"/>
      <protection locked="0"/>
    </xf>
    <xf numFmtId="14" fontId="1" fillId="0" borderId="1" xfId="0" applyNumberFormat="1"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13" xfId="0" applyFont="1" applyBorder="1" applyAlignment="1" applyProtection="1">
      <alignment wrapText="1"/>
      <protection locked="0"/>
    </xf>
    <xf numFmtId="0" fontId="1" fillId="0" borderId="15" xfId="0" applyFont="1" applyBorder="1" applyAlignment="1" applyProtection="1">
      <alignment horizontal="center" vertical="center"/>
      <protection locked="0"/>
    </xf>
    <xf numFmtId="0" fontId="1" fillId="0" borderId="19" xfId="0" applyFont="1" applyBorder="1" applyAlignment="1" applyProtection="1">
      <alignment horizontal="center"/>
      <protection locked="0"/>
    </xf>
    <xf numFmtId="0" fontId="1" fillId="0" borderId="17" xfId="0" applyFont="1" applyBorder="1" applyAlignment="1" applyProtection="1">
      <alignment horizontal="center" wrapText="1"/>
      <protection locked="0"/>
    </xf>
    <xf numFmtId="168" fontId="1" fillId="0" borderId="12" xfId="0" applyNumberFormat="1" applyFont="1" applyBorder="1" applyAlignment="1" applyProtection="1">
      <alignment horizontal="center" vertical="center"/>
      <protection locked="0"/>
    </xf>
    <xf numFmtId="0" fontId="1" fillId="0" borderId="2" xfId="0" applyFont="1" applyBorder="1" applyAlignment="1" applyProtection="1">
      <alignment horizontal="center"/>
      <protection locked="0"/>
    </xf>
    <xf numFmtId="0" fontId="1" fillId="0" borderId="0" xfId="0" applyFont="1" applyAlignment="1" applyProtection="1">
      <alignment wrapText="1"/>
      <protection locked="0"/>
    </xf>
    <xf numFmtId="0" fontId="1" fillId="0" borderId="3" xfId="0" applyFont="1" applyBorder="1" applyAlignment="1" applyProtection="1">
      <alignment wrapText="1"/>
      <protection locked="0"/>
    </xf>
    <xf numFmtId="0" fontId="1" fillId="0" borderId="2" xfId="0" applyFont="1" applyBorder="1" applyAlignment="1" applyProtection="1">
      <alignment horizontal="center" vertical="center"/>
      <protection locked="0"/>
    </xf>
    <xf numFmtId="0" fontId="1" fillId="0" borderId="2" xfId="0" applyFont="1" applyBorder="1" applyProtection="1">
      <protection locked="0"/>
    </xf>
    <xf numFmtId="168" fontId="1" fillId="0" borderId="1" xfId="6" applyNumberFormat="1" applyFont="1" applyFill="1" applyBorder="1" applyAlignment="1" applyProtection="1">
      <alignment horizontal="center" vertical="center" wrapText="1"/>
    </xf>
    <xf numFmtId="168" fontId="1" fillId="0" borderId="2" xfId="0" applyNumberFormat="1" applyFont="1" applyBorder="1" applyAlignment="1">
      <alignment horizontal="center" vertical="center"/>
    </xf>
    <xf numFmtId="14" fontId="1" fillId="0" borderId="0" xfId="0" applyNumberFormat="1" applyFont="1" applyAlignment="1" applyProtection="1">
      <alignment horizontal="center" vertical="center" wrapText="1"/>
      <protection locked="0"/>
    </xf>
    <xf numFmtId="0" fontId="1" fillId="0" borderId="0" xfId="0" applyFont="1" applyAlignment="1" applyProtection="1">
      <alignment horizontal="left"/>
      <protection locked="0"/>
    </xf>
    <xf numFmtId="168" fontId="1" fillId="0" borderId="2" xfId="0" applyNumberFormat="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vertical="center"/>
      <protection locked="0"/>
    </xf>
    <xf numFmtId="168" fontId="1" fillId="0" borderId="2" xfId="0" applyNumberFormat="1" applyFont="1" applyBorder="1" applyAlignment="1">
      <alignment horizontal="center" vertical="center" wrapText="1"/>
    </xf>
    <xf numFmtId="14" fontId="1" fillId="2" borderId="1"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center" wrapText="1"/>
      <protection locked="0"/>
    </xf>
    <xf numFmtId="0" fontId="1" fillId="0" borderId="3" xfId="0" applyFont="1" applyBorder="1" applyAlignment="1" applyProtection="1">
      <alignment horizontal="center"/>
      <protection locked="0"/>
    </xf>
    <xf numFmtId="14" fontId="1" fillId="0" borderId="2" xfId="0" applyNumberFormat="1" applyFont="1" applyBorder="1" applyAlignment="1" applyProtection="1">
      <alignment horizontal="center" vertical="center" wrapText="1"/>
      <protection locked="0"/>
    </xf>
    <xf numFmtId="0" fontId="1" fillId="0" borderId="2" xfId="0" applyFont="1" applyBorder="1" applyAlignment="1">
      <alignment vertical="center"/>
    </xf>
    <xf numFmtId="167" fontId="1" fillId="0" borderId="2" xfId="0" applyNumberFormat="1" applyFont="1" applyBorder="1" applyAlignment="1">
      <alignment horizontal="center" vertical="center" wrapText="1"/>
    </xf>
    <xf numFmtId="0" fontId="1" fillId="0" borderId="3" xfId="0" applyFont="1" applyBorder="1" applyAlignment="1" applyProtection="1">
      <alignment horizontal="center" vertical="center" wrapText="1"/>
      <protection locked="0"/>
    </xf>
    <xf numFmtId="165" fontId="1" fillId="0" borderId="2" xfId="0" applyNumberFormat="1" applyFont="1" applyBorder="1" applyAlignment="1">
      <alignment horizontal="center" vertical="center" wrapText="1"/>
    </xf>
    <xf numFmtId="6" fontId="1" fillId="4" borderId="1" xfId="6" applyNumberFormat="1" applyFont="1" applyFill="1" applyBorder="1" applyAlignment="1" applyProtection="1">
      <alignment horizontal="center" vertical="center"/>
    </xf>
    <xf numFmtId="6" fontId="1" fillId="2" borderId="1" xfId="6" applyNumberFormat="1" applyFont="1" applyFill="1" applyBorder="1" applyAlignment="1" applyProtection="1">
      <alignment horizontal="center" vertical="center"/>
    </xf>
    <xf numFmtId="0" fontId="1" fillId="2" borderId="1" xfId="0" applyFont="1" applyFill="1" applyBorder="1" applyAlignment="1">
      <alignment horizontal="center" vertical="center" wrapText="1"/>
    </xf>
    <xf numFmtId="0" fontId="1" fillId="2" borderId="0" xfId="0" applyFont="1" applyFill="1"/>
    <xf numFmtId="165" fontId="1" fillId="6" borderId="2" xfId="0" applyNumberFormat="1" applyFont="1" applyFill="1" applyBorder="1" applyAlignment="1">
      <alignment horizontal="center" vertical="center" wrapText="1"/>
    </xf>
    <xf numFmtId="165" fontId="1" fillId="6" borderId="1" xfId="0" applyNumberFormat="1" applyFont="1" applyFill="1" applyBorder="1" applyAlignment="1">
      <alignment horizontal="center" vertical="center" wrapText="1"/>
    </xf>
    <xf numFmtId="14" fontId="1" fillId="0" borderId="0" xfId="0" applyNumberFormat="1" applyFont="1" applyProtection="1">
      <protection locked="0"/>
    </xf>
    <xf numFmtId="167" fontId="1" fillId="0" borderId="2" xfId="0" applyNumberFormat="1" applyFont="1" applyBorder="1" applyAlignment="1">
      <alignment horizontal="center" vertical="center"/>
    </xf>
    <xf numFmtId="0" fontId="1" fillId="0" borderId="0" xfId="0" applyFont="1" applyAlignment="1" applyProtection="1">
      <alignment horizontal="left" vertical="center" wrapText="1"/>
      <protection locked="0"/>
    </xf>
    <xf numFmtId="0" fontId="1" fillId="8" borderId="1" xfId="0" applyFont="1" applyFill="1" applyBorder="1" applyAlignment="1" applyProtection="1">
      <alignment vertical="center"/>
      <protection locked="0"/>
    </xf>
    <xf numFmtId="168" fontId="1" fillId="0" borderId="0" xfId="0" applyNumberFormat="1" applyFont="1" applyAlignment="1">
      <alignment horizontal="left" vertical="center" wrapText="1"/>
    </xf>
    <xf numFmtId="0" fontId="1" fillId="8" borderId="6" xfId="0" applyFont="1" applyFill="1" applyBorder="1" applyAlignment="1" applyProtection="1">
      <alignment vertical="center"/>
      <protection locked="0"/>
    </xf>
    <xf numFmtId="0" fontId="1" fillId="0" borderId="0" xfId="0" applyFont="1" applyAlignment="1" applyProtection="1">
      <alignment horizontal="center" vertical="center" wrapText="1"/>
      <protection locked="0"/>
    </xf>
    <xf numFmtId="0" fontId="1" fillId="0" borderId="0" xfId="0" applyFont="1" applyAlignment="1">
      <alignment horizontal="left" vertical="center"/>
    </xf>
    <xf numFmtId="167" fontId="1" fillId="0" borderId="0" xfId="0" applyNumberFormat="1" applyFont="1" applyAlignment="1">
      <alignment horizontal="center" vertical="center"/>
    </xf>
    <xf numFmtId="6" fontId="1" fillId="0" borderId="0" xfId="0" applyNumberFormat="1" applyFont="1" applyAlignment="1">
      <alignment horizontal="center" vertical="center"/>
    </xf>
    <xf numFmtId="168" fontId="1" fillId="0" borderId="0" xfId="0" applyNumberFormat="1" applyFont="1" applyAlignment="1">
      <alignment horizontal="center" vertical="center"/>
    </xf>
    <xf numFmtId="168" fontId="1" fillId="0" borderId="0" xfId="0" applyNumberFormat="1" applyFont="1" applyAlignment="1" applyProtection="1">
      <alignment horizontal="center" vertical="center" wrapText="1"/>
      <protection locked="0"/>
    </xf>
    <xf numFmtId="0" fontId="1" fillId="2" borderId="1" xfId="0" applyFont="1" applyFill="1" applyBorder="1"/>
    <xf numFmtId="14" fontId="1" fillId="2" borderId="0" xfId="0" applyNumberFormat="1" applyFont="1" applyFill="1"/>
    <xf numFmtId="0" fontId="1" fillId="0" borderId="0" xfId="0" applyFont="1" applyAlignment="1">
      <alignment wrapText="1"/>
    </xf>
    <xf numFmtId="167" fontId="1" fillId="0" borderId="0" xfId="0" applyNumberFormat="1" applyFont="1"/>
    <xf numFmtId="167" fontId="1" fillId="0" borderId="12" xfId="0" applyNumberFormat="1" applyFont="1" applyBorder="1" applyAlignment="1">
      <alignment horizontal="center" vertical="center"/>
    </xf>
    <xf numFmtId="0" fontId="1" fillId="0" borderId="15" xfId="0" applyFont="1" applyBorder="1" applyAlignment="1">
      <alignment vertical="center"/>
    </xf>
    <xf numFmtId="14" fontId="1" fillId="0" borderId="12" xfId="0" applyNumberFormat="1" applyFont="1" applyBorder="1" applyAlignment="1">
      <alignment horizontal="center" vertical="center"/>
    </xf>
    <xf numFmtId="0" fontId="1" fillId="0" borderId="12" xfId="0" applyFont="1" applyBorder="1" applyAlignment="1">
      <alignment horizontal="center" vertical="center"/>
    </xf>
    <xf numFmtId="6" fontId="1" fillId="0" borderId="12" xfId="0" applyNumberFormat="1" applyFont="1" applyBorder="1" applyAlignment="1">
      <alignment horizontal="center" vertical="center"/>
    </xf>
    <xf numFmtId="0" fontId="1" fillId="0" borderId="23" xfId="0" applyFont="1" applyBorder="1" applyAlignment="1">
      <alignment horizontal="center" vertical="center"/>
    </xf>
    <xf numFmtId="0" fontId="1" fillId="0" borderId="21" xfId="0" applyFont="1" applyBorder="1"/>
    <xf numFmtId="14" fontId="1" fillId="0" borderId="6" xfId="0" applyNumberFormat="1" applyFont="1" applyBorder="1" applyAlignment="1">
      <alignment vertical="center"/>
    </xf>
    <xf numFmtId="14" fontId="1" fillId="0" borderId="6" xfId="0" applyNumberFormat="1" applyFont="1" applyBorder="1"/>
    <xf numFmtId="0" fontId="1" fillId="0" borderId="4" xfId="0" applyFont="1" applyBorder="1" applyAlignment="1">
      <alignment vertical="center" wrapText="1"/>
    </xf>
    <xf numFmtId="6" fontId="1" fillId="0" borderId="4" xfId="0" applyNumberFormat="1" applyFont="1" applyBorder="1" applyAlignment="1">
      <alignment vertical="center"/>
    </xf>
    <xf numFmtId="0" fontId="1" fillId="0" borderId="4" xfId="0" applyFont="1" applyBorder="1" applyAlignment="1">
      <alignment horizontal="center" wrapText="1"/>
    </xf>
    <xf numFmtId="0" fontId="1" fillId="0" borderId="4" xfId="0" applyFont="1" applyBorder="1" applyAlignment="1">
      <alignment horizontal="center"/>
    </xf>
    <xf numFmtId="0" fontId="1" fillId="0" borderId="4" xfId="0" applyFont="1" applyBorder="1" applyAlignment="1">
      <alignment wrapText="1"/>
    </xf>
    <xf numFmtId="0" fontId="1" fillId="0" borderId="4" xfId="0" applyFont="1" applyBorder="1" applyAlignment="1">
      <alignment horizontal="left" wrapText="1"/>
    </xf>
    <xf numFmtId="168" fontId="1" fillId="0" borderId="4" xfId="0" applyNumberFormat="1" applyFont="1" applyBorder="1" applyAlignment="1">
      <alignment horizontal="center" vertical="center"/>
    </xf>
    <xf numFmtId="0" fontId="63" fillId="0" borderId="1" xfId="0" applyFont="1" applyFill="1" applyBorder="1" applyAlignment="1">
      <alignment horizontal="center" vertical="center" wrapText="1"/>
    </xf>
    <xf numFmtId="0" fontId="64" fillId="0" borderId="1" xfId="0" applyFont="1" applyFill="1" applyBorder="1" applyAlignment="1" applyProtection="1">
      <alignment horizontal="center" vertical="center" wrapText="1"/>
      <protection locked="0"/>
    </xf>
    <xf numFmtId="0" fontId="64" fillId="0" borderId="1" xfId="0" applyFont="1" applyFill="1" applyBorder="1" applyAlignment="1" applyProtection="1">
      <alignment horizontal="left" vertical="center" wrapText="1"/>
      <protection locked="0"/>
    </xf>
    <xf numFmtId="0" fontId="64" fillId="0" borderId="1" xfId="2" applyFont="1" applyFill="1" applyBorder="1" applyAlignment="1">
      <alignment horizontal="center" vertical="center" wrapText="1"/>
    </xf>
    <xf numFmtId="0" fontId="64" fillId="0" borderId="1" xfId="0" applyFont="1" applyFill="1" applyBorder="1" applyAlignment="1">
      <alignment horizontal="center" vertical="center" wrapText="1"/>
    </xf>
    <xf numFmtId="14" fontId="64" fillId="0" borderId="1" xfId="0" applyNumberFormat="1" applyFont="1" applyFill="1" applyBorder="1" applyAlignment="1" applyProtection="1">
      <alignment horizontal="center" vertical="center" wrapText="1"/>
      <protection locked="0"/>
    </xf>
    <xf numFmtId="165" fontId="64" fillId="0" borderId="1" xfId="0" applyNumberFormat="1" applyFont="1" applyFill="1" applyBorder="1" applyAlignment="1">
      <alignment horizontal="center" vertical="center" wrapText="1"/>
    </xf>
    <xf numFmtId="165" fontId="64" fillId="0" borderId="1" xfId="0" applyNumberFormat="1" applyFont="1" applyFill="1" applyBorder="1" applyAlignment="1" applyProtection="1">
      <alignment horizontal="center" vertical="center" wrapText="1"/>
      <protection locked="0"/>
    </xf>
    <xf numFmtId="0" fontId="63" fillId="0" borderId="1" xfId="0" applyFont="1" applyFill="1" applyBorder="1" applyAlignment="1" applyProtection="1">
      <alignment horizontal="center" vertical="center" wrapText="1"/>
      <protection locked="0"/>
    </xf>
    <xf numFmtId="166" fontId="64" fillId="0" borderId="1" xfId="0" applyNumberFormat="1" applyFont="1" applyFill="1" applyBorder="1" applyAlignment="1" applyProtection="1">
      <alignment horizontal="center" vertical="center" wrapText="1"/>
      <protection locked="0"/>
    </xf>
    <xf numFmtId="0" fontId="69" fillId="0" borderId="1" xfId="0" applyFont="1" applyFill="1" applyBorder="1" applyAlignment="1">
      <alignment horizontal="center" vertical="center" wrapText="1"/>
    </xf>
    <xf numFmtId="0" fontId="63" fillId="0" borderId="1" xfId="0" applyFont="1" applyFill="1" applyBorder="1" applyAlignment="1">
      <alignment horizontal="left" vertical="center" wrapText="1"/>
    </xf>
    <xf numFmtId="0" fontId="55" fillId="0" borderId="1" xfId="2" applyFont="1" applyFill="1" applyBorder="1" applyAlignment="1">
      <alignment horizontal="center" vertical="center" wrapText="1"/>
    </xf>
    <xf numFmtId="0" fontId="15" fillId="0" borderId="0" xfId="0" applyFont="1" applyFill="1" applyAlignment="1">
      <alignment horizontal="center" vertical="center" wrapText="1"/>
    </xf>
    <xf numFmtId="1" fontId="64" fillId="0" borderId="1" xfId="0" applyNumberFormat="1" applyFont="1" applyFill="1" applyBorder="1" applyAlignment="1" applyProtection="1">
      <alignment horizontal="center" vertical="center" wrapText="1"/>
      <protection locked="0"/>
    </xf>
    <xf numFmtId="49" fontId="64" fillId="0" borderId="1" xfId="0" applyNumberFormat="1" applyFont="1" applyFill="1" applyBorder="1" applyAlignment="1" applyProtection="1">
      <alignment horizontal="center" vertical="center" wrapText="1"/>
      <protection locked="0"/>
    </xf>
    <xf numFmtId="14" fontId="64" fillId="0" borderId="1" xfId="1" applyNumberFormat="1" applyFont="1" applyFill="1" applyBorder="1" applyAlignment="1">
      <alignment horizontal="center" vertical="center" wrapText="1"/>
    </xf>
    <xf numFmtId="168" fontId="64" fillId="0" borderId="1" xfId="0" applyNumberFormat="1" applyFont="1" applyFill="1" applyBorder="1" applyAlignment="1">
      <alignment horizontal="center" vertical="center" wrapText="1"/>
    </xf>
    <xf numFmtId="14" fontId="64" fillId="0" borderId="1" xfId="2" applyNumberFormat="1" applyFont="1" applyFill="1" applyBorder="1" applyAlignment="1">
      <alignment horizontal="center" vertical="center" wrapText="1"/>
    </xf>
    <xf numFmtId="1" fontId="64" fillId="0" borderId="1" xfId="2" applyNumberFormat="1" applyFont="1" applyFill="1" applyBorder="1" applyAlignment="1">
      <alignment horizontal="center" vertical="center" wrapText="1"/>
    </xf>
    <xf numFmtId="168" fontId="64" fillId="0" borderId="1" xfId="0" applyNumberFormat="1" applyFont="1" applyFill="1" applyBorder="1" applyAlignment="1" applyProtection="1">
      <alignment horizontal="center" vertical="center" wrapText="1"/>
      <protection locked="0"/>
    </xf>
    <xf numFmtId="0" fontId="64" fillId="0" borderId="1" xfId="1" applyFont="1" applyFill="1" applyBorder="1" applyAlignment="1" applyProtection="1">
      <alignment horizontal="left" vertical="center" wrapText="1"/>
      <protection locked="0"/>
    </xf>
    <xf numFmtId="0" fontId="64" fillId="0" borderId="1" xfId="2" applyFont="1" applyFill="1" applyBorder="1" applyAlignment="1">
      <alignment horizontal="left" vertical="center" wrapText="1"/>
    </xf>
    <xf numFmtId="0" fontId="66" fillId="0" borderId="1" xfId="0" applyFont="1" applyFill="1" applyBorder="1" applyAlignment="1">
      <alignment wrapText="1"/>
    </xf>
    <xf numFmtId="0" fontId="66" fillId="0" borderId="1" xfId="0" applyFont="1" applyFill="1" applyBorder="1" applyAlignment="1">
      <alignment horizontal="center" vertical="center" wrapText="1"/>
    </xf>
    <xf numFmtId="0" fontId="64" fillId="0" borderId="1" xfId="2" applyFont="1" applyFill="1" applyBorder="1" applyAlignment="1">
      <alignment horizontal="left" vertical="top" wrapText="1"/>
    </xf>
    <xf numFmtId="0" fontId="64" fillId="0" borderId="1" xfId="0" applyFont="1" applyFill="1" applyBorder="1" applyAlignment="1" applyProtection="1">
      <alignment horizontal="left" vertical="top" wrapText="1"/>
      <protection locked="0"/>
    </xf>
    <xf numFmtId="165" fontId="63" fillId="0" borderId="1" xfId="0" applyNumberFormat="1" applyFont="1" applyFill="1" applyBorder="1" applyAlignment="1">
      <alignment horizontal="center" vertical="center" wrapText="1"/>
    </xf>
    <xf numFmtId="14" fontId="64" fillId="0" borderId="1" xfId="0" applyNumberFormat="1" applyFont="1" applyFill="1" applyBorder="1" applyAlignment="1">
      <alignment horizontal="center" vertical="center" wrapText="1"/>
    </xf>
    <xf numFmtId="0" fontId="64" fillId="0" borderId="1" xfId="1" applyFont="1" applyFill="1" applyBorder="1" applyAlignment="1">
      <alignment horizontal="center" vertical="center" wrapText="1"/>
    </xf>
    <xf numFmtId="0" fontId="64" fillId="0" borderId="1" xfId="0" applyFont="1" applyFill="1" applyBorder="1" applyAlignment="1">
      <alignment horizontal="left" vertical="center" wrapText="1"/>
    </xf>
    <xf numFmtId="166" fontId="64" fillId="0" borderId="1" xfId="0" applyNumberFormat="1" applyFont="1" applyFill="1" applyBorder="1" applyAlignment="1">
      <alignment horizontal="center" vertical="center" wrapText="1"/>
    </xf>
    <xf numFmtId="0" fontId="71" fillId="0" borderId="1" xfId="0" applyFont="1" applyFill="1" applyBorder="1" applyAlignment="1">
      <alignment horizontal="center" vertical="center" wrapText="1"/>
    </xf>
    <xf numFmtId="49" fontId="66" fillId="0" borderId="1" xfId="0" applyNumberFormat="1" applyFont="1" applyFill="1" applyBorder="1" applyAlignment="1" applyProtection="1">
      <alignment horizontal="center" vertical="center" wrapText="1"/>
      <protection locked="0"/>
    </xf>
    <xf numFmtId="0" fontId="63" fillId="0" borderId="1" xfId="0" applyFont="1" applyFill="1" applyBorder="1" applyAlignment="1" applyProtection="1">
      <alignment horizontal="left" vertical="center" wrapText="1"/>
      <protection locked="0"/>
    </xf>
    <xf numFmtId="0" fontId="64" fillId="0" borderId="1" xfId="0" applyFont="1" applyFill="1" applyBorder="1" applyAlignment="1" applyProtection="1">
      <alignment vertical="top" wrapText="1"/>
      <protection locked="0"/>
    </xf>
    <xf numFmtId="0" fontId="66" fillId="0" borderId="1" xfId="0" applyFont="1" applyFill="1" applyBorder="1" applyAlignment="1">
      <alignment horizontal="center" wrapText="1"/>
    </xf>
    <xf numFmtId="0" fontId="71" fillId="0" borderId="1" xfId="0" applyFont="1" applyFill="1" applyBorder="1" applyAlignment="1" applyProtection="1">
      <alignment horizontal="center" vertical="center" wrapText="1"/>
      <protection locked="0"/>
    </xf>
    <xf numFmtId="0" fontId="64" fillId="0" borderId="1" xfId="1" quotePrefix="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protection locked="0"/>
    </xf>
    <xf numFmtId="14" fontId="66" fillId="0" borderId="1" xfId="0" applyNumberFormat="1" applyFont="1" applyFill="1" applyBorder="1" applyAlignment="1" applyProtection="1">
      <alignment horizontal="center" vertical="center" wrapText="1"/>
      <protection locked="0"/>
    </xf>
    <xf numFmtId="0" fontId="66" fillId="0" borderId="1" xfId="0" applyFont="1" applyFill="1" applyBorder="1" applyAlignment="1" applyProtection="1">
      <alignment horizontal="center" vertical="center" wrapText="1"/>
      <protection locked="0"/>
    </xf>
    <xf numFmtId="0" fontId="66" fillId="0" borderId="1" xfId="1" applyFont="1" applyFill="1" applyBorder="1" applyAlignment="1">
      <alignment horizontal="center" vertical="center" wrapText="1"/>
    </xf>
    <xf numFmtId="1" fontId="64" fillId="0" borderId="1" xfId="0" applyNumberFormat="1" applyFont="1" applyFill="1" applyBorder="1" applyAlignment="1">
      <alignment horizontal="center" vertical="center" wrapText="1"/>
    </xf>
    <xf numFmtId="169" fontId="64" fillId="0" borderId="1" xfId="0" applyNumberFormat="1" applyFont="1" applyFill="1" applyBorder="1" applyAlignment="1" applyProtection="1">
      <alignment horizontal="center" vertical="center" wrapText="1"/>
      <protection locked="0"/>
    </xf>
    <xf numFmtId="14" fontId="64" fillId="0" borderId="1" xfId="0" quotePrefix="1" applyNumberFormat="1" applyFont="1" applyFill="1" applyBorder="1" applyAlignment="1">
      <alignment horizontal="center" vertical="center" wrapText="1"/>
    </xf>
    <xf numFmtId="0" fontId="66" fillId="0" borderId="1" xfId="0" applyFont="1" applyFill="1" applyBorder="1" applyAlignment="1" applyProtection="1">
      <alignment horizontal="left" vertical="center" wrapText="1"/>
      <protection locked="0"/>
    </xf>
    <xf numFmtId="0" fontId="63" fillId="0" borderId="0" xfId="0" applyFont="1" applyFill="1" applyAlignment="1">
      <alignment horizontal="center" vertical="center" wrapText="1"/>
    </xf>
    <xf numFmtId="0" fontId="63" fillId="0" borderId="0" xfId="0" applyFont="1" applyFill="1" applyAlignment="1">
      <alignment horizontal="left" vertical="center" wrapText="1"/>
    </xf>
    <xf numFmtId="0" fontId="18" fillId="23" borderId="1" xfId="2" applyFont="1" applyFill="1" applyBorder="1" applyAlignment="1" applyProtection="1">
      <alignment horizontal="center" vertical="center" textRotation="180" wrapText="1"/>
      <protection locked="0"/>
    </xf>
    <xf numFmtId="165" fontId="18" fillId="23" borderId="1" xfId="0" applyNumberFormat="1" applyFont="1" applyFill="1" applyBorder="1" applyAlignment="1" applyProtection="1">
      <alignment horizontal="center" vertical="center" wrapText="1"/>
      <protection locked="0"/>
    </xf>
    <xf numFmtId="0" fontId="18" fillId="23" borderId="1" xfId="0" applyFont="1" applyFill="1" applyBorder="1" applyAlignment="1" applyProtection="1">
      <alignment horizontal="center" vertical="center" wrapText="1"/>
      <protection locked="0"/>
    </xf>
    <xf numFmtId="0" fontId="76" fillId="0" borderId="0" xfId="0" applyFont="1" applyFill="1" applyAlignment="1">
      <alignment wrapText="1"/>
    </xf>
    <xf numFmtId="0" fontId="63" fillId="0" borderId="0" xfId="0" applyFont="1" applyFill="1" applyAlignment="1">
      <alignment wrapText="1"/>
    </xf>
    <xf numFmtId="0" fontId="66" fillId="0" borderId="0" xfId="0" applyFont="1" applyFill="1" applyAlignment="1">
      <alignment wrapText="1"/>
    </xf>
    <xf numFmtId="0" fontId="64" fillId="0" borderId="0" xfId="0" applyFont="1" applyFill="1" applyAlignment="1">
      <alignment vertical="top" wrapText="1"/>
    </xf>
    <xf numFmtId="0" fontId="5" fillId="0" borderId="0" xfId="0" applyFont="1" applyFill="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65" fontId="63" fillId="0" borderId="1" xfId="0" applyNumberFormat="1" applyFont="1" applyFill="1" applyBorder="1" applyAlignment="1" applyProtection="1">
      <alignment horizontal="center" vertical="center" wrapText="1"/>
      <protection locked="0"/>
    </xf>
    <xf numFmtId="168" fontId="64" fillId="0" borderId="1" xfId="1" applyNumberFormat="1" applyFont="1" applyFill="1" applyBorder="1" applyAlignment="1">
      <alignment horizontal="center" vertical="center" wrapText="1"/>
    </xf>
    <xf numFmtId="165" fontId="64" fillId="0" borderId="1" xfId="0" quotePrefix="1" applyNumberFormat="1" applyFont="1" applyFill="1" applyBorder="1" applyAlignment="1" applyProtection="1">
      <alignment horizontal="center" vertical="center" wrapText="1"/>
      <protection locked="0"/>
    </xf>
    <xf numFmtId="0" fontId="63" fillId="0" borderId="1" xfId="0" applyFont="1" applyFill="1" applyBorder="1" applyAlignment="1">
      <alignment horizontal="center" wrapText="1"/>
    </xf>
    <xf numFmtId="0" fontId="63" fillId="0" borderId="0" xfId="0" applyFont="1" applyFill="1" applyAlignment="1">
      <alignment vertical="center" wrapText="1"/>
    </xf>
    <xf numFmtId="0" fontId="7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Fill="1" applyBorder="1" applyAlignment="1">
      <alignment horizontal="center" wrapText="1"/>
    </xf>
    <xf numFmtId="15" fontId="64" fillId="0" borderId="1" xfId="0" applyNumberFormat="1" applyFont="1" applyFill="1" applyBorder="1" applyAlignment="1" applyProtection="1">
      <alignment horizontal="center" vertical="center" wrapText="1"/>
      <protection locked="0"/>
    </xf>
    <xf numFmtId="0" fontId="63" fillId="0" borderId="0" xfId="0" applyFont="1" applyFill="1" applyAlignment="1">
      <alignment horizontal="left" vertical="top" wrapText="1"/>
    </xf>
    <xf numFmtId="165" fontId="63" fillId="0" borderId="0" xfId="0" applyNumberFormat="1" applyFont="1" applyFill="1" applyAlignment="1">
      <alignment horizontal="center" vertical="center" wrapText="1"/>
    </xf>
    <xf numFmtId="168" fontId="18" fillId="23" borderId="1" xfId="0" applyNumberFormat="1" applyFont="1" applyFill="1" applyBorder="1" applyAlignment="1" applyProtection="1">
      <alignment horizontal="center" vertical="center" wrapText="1"/>
      <protection locked="0"/>
    </xf>
    <xf numFmtId="0" fontId="68" fillId="0" borderId="1" xfId="0" applyFont="1" applyFill="1" applyBorder="1" applyAlignment="1">
      <alignment horizontal="center" vertical="center" wrapText="1"/>
    </xf>
    <xf numFmtId="1" fontId="64" fillId="0" borderId="1" xfId="1" applyNumberFormat="1" applyFont="1" applyFill="1" applyBorder="1" applyAlignment="1">
      <alignment horizontal="center" vertical="center" wrapText="1"/>
    </xf>
    <xf numFmtId="6" fontId="64" fillId="0" borderId="1" xfId="1" applyNumberFormat="1" applyFont="1" applyFill="1" applyBorder="1" applyAlignment="1">
      <alignment horizontal="center" vertical="center" wrapText="1"/>
    </xf>
    <xf numFmtId="167" fontId="64" fillId="0" borderId="1" xfId="0" applyNumberFormat="1" applyFont="1" applyFill="1" applyBorder="1" applyAlignment="1" applyProtection="1">
      <alignment horizontal="center" vertical="center" wrapText="1"/>
      <protection locked="0"/>
    </xf>
    <xf numFmtId="165" fontId="64" fillId="0" borderId="1" xfId="1" applyNumberFormat="1" applyFont="1" applyFill="1" applyBorder="1" applyAlignment="1" applyProtection="1">
      <alignment horizontal="center" vertical="center" wrapText="1"/>
      <protection locked="0"/>
    </xf>
    <xf numFmtId="0" fontId="64" fillId="0" borderId="1" xfId="1" applyFont="1" applyFill="1" applyBorder="1" applyAlignment="1" applyProtection="1">
      <alignment horizontal="center" vertical="center" wrapText="1"/>
      <protection locked="0"/>
    </xf>
    <xf numFmtId="49" fontId="64" fillId="0" borderId="1" xfId="1" applyNumberFormat="1" applyFont="1" applyFill="1" applyBorder="1" applyAlignment="1" applyProtection="1">
      <alignment horizontal="center" vertical="center" wrapText="1"/>
      <protection locked="0"/>
    </xf>
  </cellXfs>
  <cellStyles count="19">
    <cellStyle name="Comma" xfId="7" builtinId="3"/>
    <cellStyle name="Comma 2" xfId="10" xr:uid="{00000000-0005-0000-0000-000001000000}"/>
    <cellStyle name="Comma 2 2" xfId="11" xr:uid="{00000000-0005-0000-0000-000002000000}"/>
    <cellStyle name="Currency" xfId="6" builtinId="4"/>
    <cellStyle name="Currency 2" xfId="14" xr:uid="{00000000-0005-0000-0000-000004000000}"/>
    <cellStyle name="Currency 2 2" xfId="12" xr:uid="{00000000-0005-0000-0000-000005000000}"/>
    <cellStyle name="Normal" xfId="0" builtinId="0"/>
    <cellStyle name="Normal 2" xfId="9" xr:uid="{00000000-0005-0000-0000-000007000000}"/>
    <cellStyle name="Normal 2 2" xfId="1" xr:uid="{00000000-0005-0000-0000-000008000000}"/>
    <cellStyle name="Normal 3" xfId="3" xr:uid="{00000000-0005-0000-0000-000009000000}"/>
    <cellStyle name="Normal 3 2" xfId="5" xr:uid="{00000000-0005-0000-0000-00000A000000}"/>
    <cellStyle name="Normal 3 2 2" xfId="16" xr:uid="{00000000-0005-0000-0000-00000B000000}"/>
    <cellStyle name="Normal 3 3" xfId="15" xr:uid="{00000000-0005-0000-0000-00000C000000}"/>
    <cellStyle name="Normal 4" xfId="13" xr:uid="{00000000-0005-0000-0000-00000D000000}"/>
    <cellStyle name="Normal 4 2" xfId="18" xr:uid="{00000000-0005-0000-0000-00000E000000}"/>
    <cellStyle name="Normal 5" xfId="4" xr:uid="{00000000-0005-0000-0000-00000F000000}"/>
    <cellStyle name="Normal 5 2" xfId="17" xr:uid="{00000000-0005-0000-0000-000010000000}"/>
    <cellStyle name="Normal 6" xfId="8" xr:uid="{00000000-0005-0000-0000-000011000000}"/>
    <cellStyle name="Normal 9" xfId="2" xr:uid="{00000000-0005-0000-0000-000012000000}"/>
  </cellStyles>
  <dxfs count="760">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9C6500"/>
      </font>
      <fill>
        <patternFill>
          <bgColor rgb="FFFFEB9C"/>
        </patternFill>
      </fill>
    </dxf>
    <dxf>
      <fill>
        <patternFill>
          <bgColor theme="0" tint="-0.14996795556505021"/>
        </patternFill>
      </fill>
    </dxf>
    <dxf>
      <fill>
        <patternFill>
          <bgColor rgb="FF92D05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ill>
        <patternFill>
          <bgColor rgb="FFFF0000"/>
        </patternFill>
      </fill>
    </dxf>
    <dxf>
      <fill>
        <patternFill>
          <bgColor rgb="FF92D050"/>
        </patternFill>
      </fill>
    </dxf>
    <dxf>
      <fill>
        <patternFill>
          <bgColor rgb="FFFFC000"/>
        </patternFill>
      </fill>
    </dxf>
    <dxf>
      <font>
        <color rgb="FF006100"/>
      </font>
      <fill>
        <patternFill>
          <bgColor rgb="FFC6EFCE"/>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ont>
        <b/>
        <i val="0"/>
        <color auto="1"/>
      </font>
      <fill>
        <patternFill>
          <bgColor rgb="FF00B050"/>
        </patternFill>
      </fill>
    </dxf>
    <dxf>
      <font>
        <b/>
        <i val="0"/>
        <color theme="0"/>
      </font>
      <fill>
        <patternFill>
          <bgColor rgb="FFFF0000"/>
        </patternFill>
      </fill>
    </dxf>
    <dxf>
      <font>
        <b/>
        <i val="0"/>
        <color theme="0"/>
      </font>
      <fill>
        <patternFill>
          <bgColor rgb="FF00B05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ill>
        <patternFill>
          <bgColor theme="9"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theme="0" tint="-0.1499679555650502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colors>
    <mruColors>
      <color rgb="FFB9E6AE"/>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namedSheetView name="View1" id="{46F8E58C-AEC4-4EF9-9C19-F5EBAF6BE049}"/>
  <namedSheetView name="View2" id="{06450F23-B6B2-4DAD-8153-2700F961772E}"/>
  <namedSheetView name="View3" id="{9710F36E-BA88-4723-AA07-A2D50B0D2EBB}"/>
  <namedSheetView name="View4" id="{74E26CEA-9497-4990-A5D1-F12AB8FAC469}"/>
  <namedSheetView name="View5" id="{DC1BA634-8247-41D0-8BED-3C91B0E0F304}"/>
  <namedSheetView name="View6" id="{0EFC31A4-3520-4851-95C6-6D309ED0AFEB}"/>
  <namedSheetView name="View7" id="{2FBC91D5-476C-4F13-8783-AF285DBBD029}"/>
  <namedSheetView name="View8" id="{C3DB0AA5-FE59-4F2E-96C1-D944B1E54B45}">
    <nsvFilter filterId="{00000000-0001-0000-0100-000000000000}" ref="A1:P522" tableId="0"/>
  </namedSheetView>
  <namedSheetView name="View9" id="{1E37887C-DE42-45D3-A500-6D5064F3EBCD}">
    <nsvFilter filterId="{00000000-0001-0000-0100-000000000000}" ref="A1:P522" tableId="0">
      <sortRules>
        <sortRule colId="4">
          <sortCondition ref="E1:E522"/>
        </sortRule>
      </sortRules>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microsoft.com/office/2019/04/relationships/namedSheetView" Target="../namedSheetViews/namedSheetView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2"/>
  <sheetViews>
    <sheetView tabSelected="1" zoomScale="80" zoomScaleNormal="80" workbookViewId="0">
      <pane ySplit="1" topLeftCell="A2" activePane="bottomLeft" state="frozen"/>
      <selection pane="bottomLeft" activeCell="D4" sqref="D4"/>
    </sheetView>
  </sheetViews>
  <sheetFormatPr defaultColWidth="8.90625" defaultRowHeight="12.75" customHeight="1" outlineLevelCol="2"/>
  <cols>
    <col min="1" max="1" width="9.90625" style="1544" bestFit="1" customWidth="1"/>
    <col min="2" max="2" width="16.1796875" style="1544" bestFit="1" customWidth="1"/>
    <col min="3" max="3" width="10.1796875" style="1544" customWidth="1"/>
    <col min="4" max="4" width="9.90625" style="1544" bestFit="1" customWidth="1"/>
    <col min="5" max="5" width="33" style="1545" bestFit="1" customWidth="1"/>
    <col min="6" max="6" width="12" style="1544" customWidth="1"/>
    <col min="7" max="7" width="10.6328125" style="1544" customWidth="1"/>
    <col min="8" max="8" width="51.453125" style="1567" bestFit="1" customWidth="1"/>
    <col min="9" max="9" width="13.6328125" style="1568" customWidth="1" outlineLevel="2"/>
    <col min="10" max="10" width="12.6328125" style="1544" customWidth="1" outlineLevel="2"/>
    <col min="11" max="11" width="17.08984375" style="1544" customWidth="1" outlineLevel="2"/>
    <col min="12" max="12" width="22.6328125" style="1544" customWidth="1" outlineLevel="1"/>
    <col min="13" max="13" width="14.36328125" style="1544" customWidth="1" outlineLevel="1"/>
    <col min="14" max="14" width="22.36328125" style="1544" customWidth="1" outlineLevel="1"/>
    <col min="15" max="15" width="12" style="1544" customWidth="1" outlineLevel="1"/>
    <col min="16" max="16" width="15.36328125" style="1544" customWidth="1" outlineLevel="1"/>
    <col min="17" max="16384" width="8.90625" style="1550"/>
  </cols>
  <sheetData>
    <row r="1" spans="1:16" s="1549" customFormat="1" ht="73.5" customHeight="1">
      <c r="A1" s="1546" t="s">
        <v>0</v>
      </c>
      <c r="B1" s="1546" t="s">
        <v>1</v>
      </c>
      <c r="C1" s="1546" t="s">
        <v>2</v>
      </c>
      <c r="D1" s="1546" t="s">
        <v>4</v>
      </c>
      <c r="E1" s="1546" t="s">
        <v>5</v>
      </c>
      <c r="F1" s="1548" t="s">
        <v>6</v>
      </c>
      <c r="G1" s="1548" t="s">
        <v>7</v>
      </c>
      <c r="H1" s="1548" t="s">
        <v>8</v>
      </c>
      <c r="I1" s="1547" t="s">
        <v>12</v>
      </c>
      <c r="J1" s="1548" t="s">
        <v>13</v>
      </c>
      <c r="K1" s="1548" t="s">
        <v>14</v>
      </c>
      <c r="L1" s="1569" t="s">
        <v>15</v>
      </c>
      <c r="M1" s="1569" t="s">
        <v>16</v>
      </c>
      <c r="N1" s="1548" t="s">
        <v>17</v>
      </c>
      <c r="O1" s="1548" t="s">
        <v>18</v>
      </c>
      <c r="P1" s="1548" t="s">
        <v>19</v>
      </c>
    </row>
    <row r="2" spans="1:16" s="1551" customFormat="1" ht="27" customHeight="1">
      <c r="A2" s="1501" t="s">
        <v>145</v>
      </c>
      <c r="B2" s="1501" t="s">
        <v>146</v>
      </c>
      <c r="C2" s="1498" t="s">
        <v>82</v>
      </c>
      <c r="D2" s="1498" t="s">
        <v>82</v>
      </c>
      <c r="E2" s="1499" t="s">
        <v>147</v>
      </c>
      <c r="F2" s="1498" t="s">
        <v>148</v>
      </c>
      <c r="G2" s="1498" t="s">
        <v>34</v>
      </c>
      <c r="H2" s="1499" t="s">
        <v>149</v>
      </c>
      <c r="I2" s="1513">
        <v>45383</v>
      </c>
      <c r="J2" s="1501"/>
      <c r="K2" s="1521"/>
      <c r="L2" s="653"/>
      <c r="M2" s="653" t="str">
        <f>IF(ISNUMBER(L2),SUM(L2*20%)+L2,"")</f>
        <v/>
      </c>
      <c r="N2" s="1514"/>
      <c r="O2" s="1498" t="s">
        <v>54</v>
      </c>
      <c r="P2" s="1498" t="s">
        <v>43</v>
      </c>
    </row>
    <row r="3" spans="1:16" ht="27" customHeight="1">
      <c r="A3" s="1497" t="s">
        <v>145</v>
      </c>
      <c r="B3" s="1501" t="s">
        <v>35</v>
      </c>
      <c r="C3" s="1498" t="s">
        <v>92</v>
      </c>
      <c r="D3" s="1498" t="s">
        <v>92</v>
      </c>
      <c r="E3" s="1499" t="s">
        <v>123</v>
      </c>
      <c r="F3" s="1498" t="s">
        <v>148</v>
      </c>
      <c r="G3" s="1498" t="s">
        <v>34</v>
      </c>
      <c r="H3" s="1499" t="s">
        <v>183</v>
      </c>
      <c r="I3" s="1504">
        <v>45413</v>
      </c>
      <c r="J3" s="1498" t="s">
        <v>35</v>
      </c>
      <c r="K3" s="1497" t="s">
        <v>35</v>
      </c>
      <c r="L3" s="653">
        <v>50000</v>
      </c>
      <c r="M3" s="653">
        <f>IF(ISNUMBER(L3),SUM(L3*20%)+L3,"")</f>
        <v>60000</v>
      </c>
      <c r="N3" s="1498" t="s">
        <v>163</v>
      </c>
      <c r="O3" s="1498" t="s">
        <v>54</v>
      </c>
      <c r="P3" s="1502" t="s">
        <v>43</v>
      </c>
    </row>
    <row r="4" spans="1:16" s="1510" customFormat="1" ht="86.4" customHeight="1">
      <c r="A4" s="1501" t="s">
        <v>145</v>
      </c>
      <c r="B4" s="1501" t="s">
        <v>35</v>
      </c>
      <c r="C4" s="1498" t="s">
        <v>82</v>
      </c>
      <c r="D4" s="1498" t="s">
        <v>82</v>
      </c>
      <c r="E4" s="1499" t="s">
        <v>250</v>
      </c>
      <c r="F4" s="1498" t="s">
        <v>148</v>
      </c>
      <c r="G4" s="1498" t="s">
        <v>64</v>
      </c>
      <c r="H4" s="1499" t="s">
        <v>251</v>
      </c>
      <c r="I4" s="1513">
        <v>45170</v>
      </c>
      <c r="J4" s="1526">
        <v>36</v>
      </c>
      <c r="K4" s="1526" t="s">
        <v>252</v>
      </c>
      <c r="L4" s="653">
        <v>70000</v>
      </c>
      <c r="M4" s="653">
        <f>IF(ISNUMBER(L4),SUM(L4*20%)+L4,"")</f>
        <v>84000</v>
      </c>
      <c r="N4" s="1498" t="s">
        <v>66</v>
      </c>
      <c r="O4" s="1498" t="s">
        <v>54</v>
      </c>
      <c r="P4" s="1498" t="s">
        <v>43</v>
      </c>
    </row>
    <row r="5" spans="1:16" s="1510" customFormat="1" ht="83.1" customHeight="1">
      <c r="A5" s="1501" t="s">
        <v>145</v>
      </c>
      <c r="B5" s="1501" t="s">
        <v>35</v>
      </c>
      <c r="C5" s="1498" t="s">
        <v>82</v>
      </c>
      <c r="D5" s="1498" t="s">
        <v>82</v>
      </c>
      <c r="E5" s="1499" t="s">
        <v>250</v>
      </c>
      <c r="F5" s="1498" t="s">
        <v>148</v>
      </c>
      <c r="G5" s="1498" t="s">
        <v>34</v>
      </c>
      <c r="H5" s="1499" t="s">
        <v>251</v>
      </c>
      <c r="I5" s="1513">
        <v>45536</v>
      </c>
      <c r="J5" s="1526" t="s">
        <v>35</v>
      </c>
      <c r="K5" s="1526" t="s">
        <v>35</v>
      </c>
      <c r="L5" s="653">
        <v>70000</v>
      </c>
      <c r="M5" s="653">
        <f>IF(ISNUMBER(L5),SUM(L5*20%)+L5,"")</f>
        <v>84000</v>
      </c>
      <c r="N5" s="1514" t="s">
        <v>163</v>
      </c>
      <c r="O5" s="1498" t="s">
        <v>54</v>
      </c>
      <c r="P5" s="1498" t="s">
        <v>36</v>
      </c>
    </row>
    <row r="6" spans="1:16" ht="27" customHeight="1">
      <c r="A6" s="1501" t="s">
        <v>145</v>
      </c>
      <c r="B6" s="1558" t="s">
        <v>35</v>
      </c>
      <c r="C6" s="1501" t="s">
        <v>92</v>
      </c>
      <c r="D6" s="1498" t="s">
        <v>92</v>
      </c>
      <c r="E6" s="1499" t="s">
        <v>265</v>
      </c>
      <c r="F6" s="1498" t="s">
        <v>266</v>
      </c>
      <c r="G6" s="1498" t="s">
        <v>34</v>
      </c>
      <c r="H6" s="1499" t="s">
        <v>267</v>
      </c>
      <c r="I6" s="1513">
        <v>44927</v>
      </c>
      <c r="J6" s="1526">
        <v>36</v>
      </c>
      <c r="K6" s="1526" t="s">
        <v>236</v>
      </c>
      <c r="L6" s="653">
        <v>75000</v>
      </c>
      <c r="M6" s="653">
        <f>IF(ISNUMBER(L6),SUM(L6*20%)+L6,"")</f>
        <v>90000</v>
      </c>
      <c r="N6" s="1514" t="s">
        <v>163</v>
      </c>
      <c r="O6" s="1498" t="s">
        <v>144</v>
      </c>
      <c r="P6" s="1502" t="s">
        <v>268</v>
      </c>
    </row>
    <row r="7" spans="1:16" ht="27" customHeight="1">
      <c r="A7" s="1501" t="s">
        <v>145</v>
      </c>
      <c r="B7" s="1501" t="s">
        <v>35</v>
      </c>
      <c r="C7" s="1498" t="s">
        <v>92</v>
      </c>
      <c r="D7" s="1498" t="s">
        <v>92</v>
      </c>
      <c r="E7" s="1499" t="s">
        <v>265</v>
      </c>
      <c r="F7" s="1498" t="s">
        <v>305</v>
      </c>
      <c r="G7" s="1498" t="s">
        <v>34</v>
      </c>
      <c r="H7" s="1527" t="s">
        <v>306</v>
      </c>
      <c r="I7" s="1513">
        <v>45323</v>
      </c>
      <c r="J7" s="1498" t="s">
        <v>35</v>
      </c>
      <c r="K7" s="1512" t="s">
        <v>35</v>
      </c>
      <c r="L7" s="653">
        <v>90000</v>
      </c>
      <c r="M7" s="653">
        <f>IF(ISNUMBER(L7),SUM(L7*20%)+L7,"")</f>
        <v>108000</v>
      </c>
      <c r="N7" s="1498" t="s">
        <v>35</v>
      </c>
      <c r="O7" s="1498" t="s">
        <v>54</v>
      </c>
      <c r="P7" s="1498" t="s">
        <v>35</v>
      </c>
    </row>
    <row r="8" spans="1:16" ht="27" customHeight="1">
      <c r="A8" s="1497" t="s">
        <v>145</v>
      </c>
      <c r="B8" s="1501" t="s">
        <v>35</v>
      </c>
      <c r="C8" s="1498" t="s">
        <v>92</v>
      </c>
      <c r="D8" s="1498" t="s">
        <v>92</v>
      </c>
      <c r="E8" s="1527" t="s">
        <v>333</v>
      </c>
      <c r="F8" s="1498" t="s">
        <v>148</v>
      </c>
      <c r="G8" s="1498" t="s">
        <v>34</v>
      </c>
      <c r="H8" s="1499" t="s">
        <v>334</v>
      </c>
      <c r="I8" s="1524">
        <v>45536</v>
      </c>
      <c r="J8" s="1498" t="s">
        <v>35</v>
      </c>
      <c r="K8" s="1497" t="s">
        <v>35</v>
      </c>
      <c r="L8" s="653">
        <v>100000</v>
      </c>
      <c r="M8" s="653">
        <f>IF(ISNUMBER(L8),SUM(L8*20%)+L8,"")</f>
        <v>120000</v>
      </c>
      <c r="N8" s="653" t="s">
        <v>163</v>
      </c>
      <c r="O8" s="1498" t="s">
        <v>54</v>
      </c>
      <c r="P8" s="1498" t="s">
        <v>43</v>
      </c>
    </row>
    <row r="9" spans="1:16" ht="27" customHeight="1">
      <c r="A9" s="1501" t="s">
        <v>145</v>
      </c>
      <c r="B9" s="1501" t="s">
        <v>340</v>
      </c>
      <c r="C9" s="1498" t="s">
        <v>82</v>
      </c>
      <c r="D9" s="1498" t="s">
        <v>82</v>
      </c>
      <c r="E9" s="1499" t="s">
        <v>147</v>
      </c>
      <c r="F9" s="1498" t="s">
        <v>148</v>
      </c>
      <c r="G9" s="1498" t="s">
        <v>64</v>
      </c>
      <c r="H9" s="1499" t="s">
        <v>341</v>
      </c>
      <c r="I9" s="1513">
        <v>45717</v>
      </c>
      <c r="J9" s="1501">
        <v>60</v>
      </c>
      <c r="K9" s="1521" t="s">
        <v>342</v>
      </c>
      <c r="L9" s="653">
        <v>100000</v>
      </c>
      <c r="M9" s="653">
        <f>IF(ISNUMBER(L9),SUM(L9*20%)+L9,"")</f>
        <v>120000</v>
      </c>
      <c r="N9" s="1514" t="s">
        <v>66</v>
      </c>
      <c r="O9" s="1498" t="s">
        <v>54</v>
      </c>
      <c r="P9" s="1498" t="s">
        <v>43</v>
      </c>
    </row>
    <row r="10" spans="1:16" ht="27" customHeight="1">
      <c r="A10" s="1501" t="s">
        <v>145</v>
      </c>
      <c r="B10" s="1501" t="s">
        <v>372</v>
      </c>
      <c r="C10" s="1498" t="s">
        <v>29</v>
      </c>
      <c r="D10" s="1498" t="s">
        <v>327</v>
      </c>
      <c r="E10" s="1499" t="s">
        <v>373</v>
      </c>
      <c r="F10" s="1498" t="s">
        <v>148</v>
      </c>
      <c r="G10" s="1498" t="s">
        <v>34</v>
      </c>
      <c r="H10" s="1499" t="s">
        <v>374</v>
      </c>
      <c r="I10" s="1513">
        <v>45536</v>
      </c>
      <c r="J10" s="1526">
        <v>24</v>
      </c>
      <c r="K10" s="1526">
        <v>24</v>
      </c>
      <c r="L10" s="653">
        <v>124000</v>
      </c>
      <c r="M10" s="653">
        <f>IF(ISNUMBER(L10),SUM(L10*20%)+L10,"")</f>
        <v>148800</v>
      </c>
      <c r="N10" s="1498" t="s">
        <v>35</v>
      </c>
      <c r="O10" s="1498" t="s">
        <v>35</v>
      </c>
      <c r="P10" s="1502" t="s">
        <v>35</v>
      </c>
    </row>
    <row r="11" spans="1:16" ht="27" customHeight="1">
      <c r="A11" s="1501" t="s">
        <v>145</v>
      </c>
      <c r="B11" s="1501" t="s">
        <v>35</v>
      </c>
      <c r="C11" s="1498" t="s">
        <v>92</v>
      </c>
      <c r="D11" s="1498" t="s">
        <v>152</v>
      </c>
      <c r="E11" s="1527" t="s">
        <v>161</v>
      </c>
      <c r="F11" s="1498" t="s">
        <v>171</v>
      </c>
      <c r="G11" s="1498" t="s">
        <v>34</v>
      </c>
      <c r="H11" s="1499" t="s">
        <v>404</v>
      </c>
      <c r="I11" s="1513">
        <v>45139</v>
      </c>
      <c r="J11" s="1501">
        <v>6</v>
      </c>
      <c r="K11" s="1501">
        <v>6</v>
      </c>
      <c r="L11" s="653">
        <v>150000</v>
      </c>
      <c r="M11" s="653">
        <f>IF(ISNUMBER(L11),SUM(L11*20%)+L11,"")</f>
        <v>180000</v>
      </c>
      <c r="N11" s="1514" t="s">
        <v>173</v>
      </c>
      <c r="O11" s="1498" t="s">
        <v>54</v>
      </c>
      <c r="P11" s="1498" t="s">
        <v>43</v>
      </c>
    </row>
    <row r="12" spans="1:16" ht="27" customHeight="1">
      <c r="A12" s="1501" t="s">
        <v>145</v>
      </c>
      <c r="B12" s="1501" t="s">
        <v>35</v>
      </c>
      <c r="C12" s="1498" t="s">
        <v>92</v>
      </c>
      <c r="D12" s="1498" t="s">
        <v>92</v>
      </c>
      <c r="E12" s="1499" t="s">
        <v>265</v>
      </c>
      <c r="F12" s="1498" t="s">
        <v>266</v>
      </c>
      <c r="G12" s="1498" t="s">
        <v>34</v>
      </c>
      <c r="H12" s="1499" t="s">
        <v>408</v>
      </c>
      <c r="I12" s="1525">
        <v>45989</v>
      </c>
      <c r="J12" s="1501">
        <v>36</v>
      </c>
      <c r="K12" s="1501">
        <v>36</v>
      </c>
      <c r="L12" s="653">
        <v>150000</v>
      </c>
      <c r="M12" s="653">
        <f>IF(ISNUMBER(L12),SUM(L12*20%)+L12,"")</f>
        <v>180000</v>
      </c>
      <c r="N12" s="1498" t="s">
        <v>163</v>
      </c>
      <c r="O12" s="1498" t="s">
        <v>35</v>
      </c>
      <c r="P12" s="1498" t="s">
        <v>35</v>
      </c>
    </row>
    <row r="13" spans="1:16" ht="27" customHeight="1">
      <c r="A13" s="1501" t="s">
        <v>145</v>
      </c>
      <c r="B13" s="1501" t="s">
        <v>423</v>
      </c>
      <c r="C13" s="1498" t="s">
        <v>82</v>
      </c>
      <c r="D13" s="1498" t="s">
        <v>82</v>
      </c>
      <c r="E13" s="1499" t="s">
        <v>250</v>
      </c>
      <c r="F13" s="1498" t="s">
        <v>148</v>
      </c>
      <c r="G13" s="1498" t="s">
        <v>50</v>
      </c>
      <c r="H13" s="1499" t="s">
        <v>424</v>
      </c>
      <c r="I13" s="1513">
        <v>43922</v>
      </c>
      <c r="J13" s="1526">
        <v>60</v>
      </c>
      <c r="K13" s="1526" t="s">
        <v>425</v>
      </c>
      <c r="L13" s="653">
        <v>165600</v>
      </c>
      <c r="M13" s="653">
        <f>IF(ISNUMBER(L13),SUM(L13*20%)+L13,"")</f>
        <v>198720</v>
      </c>
      <c r="N13" s="1498" t="s">
        <v>426</v>
      </c>
      <c r="O13" s="1498" t="s">
        <v>54</v>
      </c>
      <c r="P13" s="1502" t="s">
        <v>43</v>
      </c>
    </row>
    <row r="14" spans="1:16" ht="27" customHeight="1">
      <c r="A14" s="1501" t="s">
        <v>145</v>
      </c>
      <c r="B14" s="1501" t="s">
        <v>423</v>
      </c>
      <c r="C14" s="1498" t="s">
        <v>82</v>
      </c>
      <c r="D14" s="1498" t="s">
        <v>82</v>
      </c>
      <c r="E14" s="1499" t="s">
        <v>250</v>
      </c>
      <c r="F14" s="1498" t="s">
        <v>148</v>
      </c>
      <c r="G14" s="1498" t="s">
        <v>34</v>
      </c>
      <c r="H14" s="1499" t="s">
        <v>424</v>
      </c>
      <c r="I14" s="1513">
        <v>45748</v>
      </c>
      <c r="J14" s="1526">
        <v>60</v>
      </c>
      <c r="K14" s="1526" t="s">
        <v>425</v>
      </c>
      <c r="L14" s="653">
        <v>165600</v>
      </c>
      <c r="M14" s="653">
        <f>IF(ISNUMBER(L14),SUM(L14*20%)+L14,"")</f>
        <v>198720</v>
      </c>
      <c r="N14" s="1514" t="s">
        <v>163</v>
      </c>
      <c r="O14" s="1526" t="s">
        <v>54</v>
      </c>
      <c r="P14" s="1498" t="s">
        <v>43</v>
      </c>
    </row>
    <row r="15" spans="1:16" ht="27" customHeight="1">
      <c r="A15" s="1501" t="s">
        <v>145</v>
      </c>
      <c r="B15" s="1501" t="s">
        <v>451</v>
      </c>
      <c r="C15" s="1498" t="s">
        <v>82</v>
      </c>
      <c r="D15" s="1498" t="s">
        <v>82</v>
      </c>
      <c r="E15" s="1499" t="s">
        <v>250</v>
      </c>
      <c r="F15" s="1498" t="s">
        <v>148</v>
      </c>
      <c r="G15" s="1498" t="s">
        <v>64</v>
      </c>
      <c r="H15" s="1499" t="s">
        <v>452</v>
      </c>
      <c r="I15" s="1513">
        <v>45505</v>
      </c>
      <c r="J15" s="1526">
        <v>60</v>
      </c>
      <c r="K15" s="1526" t="s">
        <v>258</v>
      </c>
      <c r="L15" s="653">
        <v>190000</v>
      </c>
      <c r="M15" s="653">
        <f>IF(ISNUMBER(L15),SUM(L15*20%)+L15,"")</f>
        <v>228000</v>
      </c>
      <c r="N15" s="1514" t="s">
        <v>66</v>
      </c>
      <c r="O15" s="1526" t="s">
        <v>41</v>
      </c>
      <c r="P15" s="1502">
        <v>44336</v>
      </c>
    </row>
    <row r="16" spans="1:16" ht="27" customHeight="1">
      <c r="A16" s="1501" t="s">
        <v>145</v>
      </c>
      <c r="B16" s="1501" t="s">
        <v>35</v>
      </c>
      <c r="C16" s="1498" t="s">
        <v>82</v>
      </c>
      <c r="D16" s="1498" t="s">
        <v>82</v>
      </c>
      <c r="E16" s="1499" t="s">
        <v>147</v>
      </c>
      <c r="F16" s="1498" t="s">
        <v>148</v>
      </c>
      <c r="G16" s="1498" t="s">
        <v>34</v>
      </c>
      <c r="H16" s="1499" t="s">
        <v>468</v>
      </c>
      <c r="I16" s="1513">
        <v>45536</v>
      </c>
      <c r="J16" s="1526">
        <v>60</v>
      </c>
      <c r="K16" s="1526" t="s">
        <v>162</v>
      </c>
      <c r="L16" s="653">
        <v>211200</v>
      </c>
      <c r="M16" s="653">
        <f>IF(ISNUMBER(L16),SUM(L16*20%)+L16,"")</f>
        <v>253440</v>
      </c>
      <c r="N16" s="1514" t="s">
        <v>163</v>
      </c>
      <c r="O16" s="1498" t="s">
        <v>41</v>
      </c>
      <c r="P16" s="1498" t="s">
        <v>35</v>
      </c>
    </row>
    <row r="17" spans="1:16" ht="27" customHeight="1">
      <c r="A17" s="1501" t="s">
        <v>145</v>
      </c>
      <c r="B17" s="1501" t="s">
        <v>35</v>
      </c>
      <c r="C17" s="1498" t="s">
        <v>29</v>
      </c>
      <c r="D17" s="1498" t="s">
        <v>327</v>
      </c>
      <c r="E17" s="1499" t="s">
        <v>373</v>
      </c>
      <c r="F17" s="1498" t="s">
        <v>148</v>
      </c>
      <c r="G17" s="1498" t="s">
        <v>34</v>
      </c>
      <c r="H17" s="1499" t="s">
        <v>486</v>
      </c>
      <c r="I17" s="1513">
        <v>45931</v>
      </c>
      <c r="J17" s="1501">
        <v>36</v>
      </c>
      <c r="K17" s="1501">
        <v>36</v>
      </c>
      <c r="L17" s="653">
        <v>240000</v>
      </c>
      <c r="M17" s="653">
        <f>IF(ISNUMBER(L17),SUM(L17*20%)+L17,"")</f>
        <v>288000</v>
      </c>
      <c r="N17" s="1514" t="s">
        <v>163</v>
      </c>
      <c r="O17" s="1498" t="s">
        <v>41</v>
      </c>
      <c r="P17" s="1502" t="s">
        <v>35</v>
      </c>
    </row>
    <row r="18" spans="1:16" ht="27" customHeight="1">
      <c r="A18" s="1501" t="s">
        <v>145</v>
      </c>
      <c r="B18" s="1501" t="s">
        <v>35</v>
      </c>
      <c r="C18" s="1498" t="s">
        <v>463</v>
      </c>
      <c r="D18" s="1498" t="s">
        <v>152</v>
      </c>
      <c r="E18" s="1499" t="s">
        <v>161</v>
      </c>
      <c r="F18" s="1498" t="s">
        <v>316</v>
      </c>
      <c r="G18" s="1498" t="s">
        <v>64</v>
      </c>
      <c r="H18" s="1499" t="s">
        <v>506</v>
      </c>
      <c r="I18" s="1513">
        <v>45769</v>
      </c>
      <c r="J18" s="1571">
        <v>60</v>
      </c>
      <c r="K18" s="1526" t="s">
        <v>507</v>
      </c>
      <c r="L18" s="653">
        <v>300000</v>
      </c>
      <c r="M18" s="653">
        <f>IF(ISNUMBER(L18),SUM(L18*20%)+L18,"")</f>
        <v>360000</v>
      </c>
      <c r="N18" s="1514" t="s">
        <v>66</v>
      </c>
      <c r="O18" s="1498" t="s">
        <v>54</v>
      </c>
      <c r="P18" s="1498" t="s">
        <v>43</v>
      </c>
    </row>
    <row r="19" spans="1:16" ht="27" customHeight="1">
      <c r="A19" s="1501" t="s">
        <v>145</v>
      </c>
      <c r="B19" s="1501" t="s">
        <v>522</v>
      </c>
      <c r="C19" s="1501" t="s">
        <v>60</v>
      </c>
      <c r="D19" s="1498" t="s">
        <v>152</v>
      </c>
      <c r="E19" s="1499" t="s">
        <v>216</v>
      </c>
      <c r="F19" s="1498" t="s">
        <v>316</v>
      </c>
      <c r="G19" s="1498" t="s">
        <v>64</v>
      </c>
      <c r="H19" s="1499" t="s">
        <v>523</v>
      </c>
      <c r="I19" s="1502">
        <v>45170</v>
      </c>
      <c r="J19" s="1498">
        <v>60</v>
      </c>
      <c r="K19" s="1512" t="s">
        <v>525</v>
      </c>
      <c r="L19" s="653">
        <v>338000</v>
      </c>
      <c r="M19" s="653">
        <f>SUM(L19*20%)+L19</f>
        <v>405600</v>
      </c>
      <c r="N19" s="1514" t="s">
        <v>66</v>
      </c>
      <c r="O19" s="1498" t="s">
        <v>41</v>
      </c>
      <c r="P19" s="1498" t="s">
        <v>526</v>
      </c>
    </row>
    <row r="20" spans="1:16" ht="27" customHeight="1">
      <c r="A20" s="1501" t="s">
        <v>145</v>
      </c>
      <c r="B20" s="1501" t="s">
        <v>527</v>
      </c>
      <c r="C20" s="1498" t="s">
        <v>82</v>
      </c>
      <c r="D20" s="1498" t="s">
        <v>82</v>
      </c>
      <c r="E20" s="1499" t="s">
        <v>147</v>
      </c>
      <c r="F20" s="1498" t="s">
        <v>148</v>
      </c>
      <c r="G20" s="1498" t="s">
        <v>64</v>
      </c>
      <c r="H20" s="1499" t="s">
        <v>528</v>
      </c>
      <c r="I20" s="1513">
        <v>45017</v>
      </c>
      <c r="J20" s="1526">
        <v>84</v>
      </c>
      <c r="K20" s="1501" t="s">
        <v>529</v>
      </c>
      <c r="L20" s="653">
        <v>350000</v>
      </c>
      <c r="M20" s="653">
        <f>SUM(L20*20%)+L20</f>
        <v>420000</v>
      </c>
      <c r="N20" s="1514" t="s">
        <v>66</v>
      </c>
      <c r="O20" s="1498" t="s">
        <v>54</v>
      </c>
      <c r="P20" s="1498" t="s">
        <v>43</v>
      </c>
    </row>
    <row r="21" spans="1:16" ht="27" customHeight="1">
      <c r="A21" s="1501" t="s">
        <v>145</v>
      </c>
      <c r="B21" s="1501" t="s">
        <v>35</v>
      </c>
      <c r="C21" s="1498" t="s">
        <v>92</v>
      </c>
      <c r="D21" s="1498" t="s">
        <v>92</v>
      </c>
      <c r="E21" s="1499" t="s">
        <v>265</v>
      </c>
      <c r="F21" s="1498" t="s">
        <v>148</v>
      </c>
      <c r="G21" s="1498" t="s">
        <v>64</v>
      </c>
      <c r="H21" s="1499" t="s">
        <v>533</v>
      </c>
      <c r="I21" s="1513">
        <v>45560</v>
      </c>
      <c r="J21" s="1501">
        <v>48</v>
      </c>
      <c r="K21" s="1526" t="s">
        <v>535</v>
      </c>
      <c r="L21" s="653">
        <v>390000</v>
      </c>
      <c r="M21" s="653">
        <f>SUM(L21*20%)+L21</f>
        <v>468000</v>
      </c>
      <c r="N21" s="1514" t="s">
        <v>163</v>
      </c>
      <c r="O21" s="1498" t="s">
        <v>41</v>
      </c>
      <c r="P21" s="1498" t="s">
        <v>536</v>
      </c>
    </row>
    <row r="22" spans="1:16" ht="27" customHeight="1">
      <c r="A22" s="1497" t="s">
        <v>145</v>
      </c>
      <c r="B22" s="1501" t="s">
        <v>35</v>
      </c>
      <c r="C22" s="1498" t="s">
        <v>92</v>
      </c>
      <c r="D22" s="1498" t="s">
        <v>92</v>
      </c>
      <c r="E22" s="1499" t="s">
        <v>265</v>
      </c>
      <c r="F22" s="1498" t="s">
        <v>148</v>
      </c>
      <c r="G22" s="1498" t="s">
        <v>34</v>
      </c>
      <c r="H22" s="1499" t="s">
        <v>537</v>
      </c>
      <c r="I22" s="1504">
        <v>45925</v>
      </c>
      <c r="J22" s="1498" t="s">
        <v>35</v>
      </c>
      <c r="K22" s="1498" t="s">
        <v>35</v>
      </c>
      <c r="L22" s="653">
        <v>390000</v>
      </c>
      <c r="M22" s="653">
        <f>SUM(L22*20%)+L22</f>
        <v>468000</v>
      </c>
      <c r="N22" s="1498" t="s">
        <v>163</v>
      </c>
      <c r="O22" s="1498" t="s">
        <v>35</v>
      </c>
      <c r="P22" s="1498" t="s">
        <v>35</v>
      </c>
    </row>
    <row r="23" spans="1:16" ht="27" customHeight="1">
      <c r="A23" s="1501" t="s">
        <v>145</v>
      </c>
      <c r="B23" s="1501" t="s">
        <v>552</v>
      </c>
      <c r="C23" s="1498" t="s">
        <v>92</v>
      </c>
      <c r="D23" s="1498" t="s">
        <v>92</v>
      </c>
      <c r="E23" s="1499" t="s">
        <v>553</v>
      </c>
      <c r="F23" s="1498" t="s">
        <v>148</v>
      </c>
      <c r="G23" s="1498" t="s">
        <v>64</v>
      </c>
      <c r="H23" s="1499" t="s">
        <v>554</v>
      </c>
      <c r="I23" s="1525">
        <v>45566</v>
      </c>
      <c r="J23" s="1501">
        <v>48</v>
      </c>
      <c r="K23" s="1526" t="s">
        <v>535</v>
      </c>
      <c r="L23" s="653">
        <v>403000</v>
      </c>
      <c r="M23" s="653">
        <f>SUM(L23*20%)+L23</f>
        <v>483600</v>
      </c>
      <c r="N23" s="1514" t="s">
        <v>66</v>
      </c>
      <c r="O23" s="1498" t="s">
        <v>41</v>
      </c>
      <c r="P23" s="1498" t="s">
        <v>555</v>
      </c>
    </row>
    <row r="24" spans="1:16" ht="27" customHeight="1">
      <c r="A24" s="1501" t="s">
        <v>145</v>
      </c>
      <c r="B24" s="1501" t="s">
        <v>35</v>
      </c>
      <c r="C24" s="1498" t="s">
        <v>92</v>
      </c>
      <c r="D24" s="1498" t="s">
        <v>92</v>
      </c>
      <c r="E24" s="1499" t="s">
        <v>553</v>
      </c>
      <c r="F24" s="1498" t="s">
        <v>148</v>
      </c>
      <c r="G24" s="1498" t="s">
        <v>34</v>
      </c>
      <c r="H24" s="1499" t="s">
        <v>554</v>
      </c>
      <c r="I24" s="1513">
        <v>45931</v>
      </c>
      <c r="J24" s="1498" t="s">
        <v>35</v>
      </c>
      <c r="K24" s="1498" t="s">
        <v>35</v>
      </c>
      <c r="L24" s="653">
        <v>403000</v>
      </c>
      <c r="M24" s="653">
        <f>SUM(L24*20%)+L24</f>
        <v>483600</v>
      </c>
      <c r="N24" s="1514" t="s">
        <v>163</v>
      </c>
      <c r="O24" s="1498" t="s">
        <v>35</v>
      </c>
      <c r="P24" s="1502" t="s">
        <v>35</v>
      </c>
    </row>
    <row r="25" spans="1:16" ht="27" customHeight="1">
      <c r="A25" s="1501" t="s">
        <v>145</v>
      </c>
      <c r="B25" s="1501" t="s">
        <v>35</v>
      </c>
      <c r="C25" s="1498" t="s">
        <v>463</v>
      </c>
      <c r="D25" s="1498" t="s">
        <v>152</v>
      </c>
      <c r="E25" s="1499" t="s">
        <v>216</v>
      </c>
      <c r="F25" s="1498" t="s">
        <v>148</v>
      </c>
      <c r="G25" s="1498" t="s">
        <v>34</v>
      </c>
      <c r="H25" s="1499" t="s">
        <v>567</v>
      </c>
      <c r="I25" s="1513">
        <v>45383</v>
      </c>
      <c r="J25" s="1526" t="s">
        <v>35</v>
      </c>
      <c r="K25" s="1526" t="s">
        <v>35</v>
      </c>
      <c r="L25" s="1572">
        <v>450000</v>
      </c>
      <c r="M25" s="653">
        <f>SUM(L25*20%)+L25</f>
        <v>540000</v>
      </c>
      <c r="N25" s="1514" t="s">
        <v>98</v>
      </c>
      <c r="O25" s="1498" t="s">
        <v>41</v>
      </c>
      <c r="P25" s="1498" t="s">
        <v>35</v>
      </c>
    </row>
    <row r="26" spans="1:16" ht="27" customHeight="1">
      <c r="A26" s="1497" t="s">
        <v>145</v>
      </c>
      <c r="B26" s="1501" t="s">
        <v>571</v>
      </c>
      <c r="C26" s="1498" t="s">
        <v>82</v>
      </c>
      <c r="D26" s="1498" t="s">
        <v>82</v>
      </c>
      <c r="E26" s="1499" t="s">
        <v>147</v>
      </c>
      <c r="F26" s="1498" t="s">
        <v>148</v>
      </c>
      <c r="G26" s="1498" t="s">
        <v>50</v>
      </c>
      <c r="H26" s="1499" t="s">
        <v>572</v>
      </c>
      <c r="I26" s="1504">
        <v>45017</v>
      </c>
      <c r="J26" s="1498"/>
      <c r="K26" s="1526" t="s">
        <v>573</v>
      </c>
      <c r="L26" s="653">
        <v>476000</v>
      </c>
      <c r="M26" s="653">
        <f>SUM(L26*20%)+L26</f>
        <v>571200</v>
      </c>
      <c r="N26" s="1498" t="s">
        <v>53</v>
      </c>
      <c r="O26" s="1498" t="s">
        <v>41</v>
      </c>
      <c r="P26" s="1498" t="s">
        <v>574</v>
      </c>
    </row>
    <row r="27" spans="1:16" ht="27" customHeight="1">
      <c r="A27" s="1501" t="s">
        <v>145</v>
      </c>
      <c r="B27" s="1558" t="s">
        <v>35</v>
      </c>
      <c r="C27" s="1498" t="s">
        <v>463</v>
      </c>
      <c r="D27" s="1501" t="s">
        <v>152</v>
      </c>
      <c r="E27" s="1499" t="s">
        <v>216</v>
      </c>
      <c r="F27" s="1498" t="s">
        <v>148</v>
      </c>
      <c r="G27" s="1498" t="s">
        <v>34</v>
      </c>
      <c r="H27" s="1499" t="s">
        <v>583</v>
      </c>
      <c r="I27" s="1513">
        <v>45748</v>
      </c>
      <c r="J27" s="1526" t="s">
        <v>35</v>
      </c>
      <c r="K27" s="1526">
        <v>36</v>
      </c>
      <c r="L27" s="653">
        <v>585000</v>
      </c>
      <c r="M27" s="653">
        <f>SUM(L27*20%)+L27</f>
        <v>702000</v>
      </c>
      <c r="N27" s="1514" t="s">
        <v>163</v>
      </c>
      <c r="O27" s="1498" t="s">
        <v>35</v>
      </c>
      <c r="P27" s="1525" t="s">
        <v>35</v>
      </c>
    </row>
    <row r="28" spans="1:16" ht="27" customHeight="1">
      <c r="A28" s="1501" t="s">
        <v>145</v>
      </c>
      <c r="B28" s="1501" t="s">
        <v>35</v>
      </c>
      <c r="C28" s="1498" t="s">
        <v>82</v>
      </c>
      <c r="D28" s="1498" t="s">
        <v>82</v>
      </c>
      <c r="E28" s="1499" t="s">
        <v>147</v>
      </c>
      <c r="F28" s="1498" t="s">
        <v>148</v>
      </c>
      <c r="G28" s="1498" t="s">
        <v>64</v>
      </c>
      <c r="H28" s="1499" t="s">
        <v>590</v>
      </c>
      <c r="I28" s="1513">
        <v>45200</v>
      </c>
      <c r="J28" s="1526">
        <v>48</v>
      </c>
      <c r="K28" s="1526" t="s">
        <v>240</v>
      </c>
      <c r="L28" s="653">
        <v>600000</v>
      </c>
      <c r="M28" s="653">
        <f>SUM(L28*20%)+L28</f>
        <v>720000</v>
      </c>
      <c r="N28" s="1514" t="s">
        <v>66</v>
      </c>
      <c r="O28" s="1498" t="s">
        <v>41</v>
      </c>
      <c r="P28" s="1502" t="s">
        <v>591</v>
      </c>
    </row>
    <row r="29" spans="1:16" s="1552" customFormat="1" ht="27" customHeight="1">
      <c r="A29" s="1497" t="s">
        <v>145</v>
      </c>
      <c r="B29" s="1501" t="s">
        <v>35</v>
      </c>
      <c r="C29" s="1498" t="s">
        <v>82</v>
      </c>
      <c r="D29" s="1498" t="s">
        <v>82</v>
      </c>
      <c r="E29" s="1499" t="s">
        <v>147</v>
      </c>
      <c r="F29" s="1498" t="s">
        <v>148</v>
      </c>
      <c r="G29" s="1498" t="s">
        <v>50</v>
      </c>
      <c r="H29" s="1499" t="s">
        <v>590</v>
      </c>
      <c r="I29" s="1504">
        <v>45017</v>
      </c>
      <c r="J29" s="1526">
        <v>48</v>
      </c>
      <c r="K29" s="1526" t="s">
        <v>240</v>
      </c>
      <c r="L29" s="653">
        <v>600000</v>
      </c>
      <c r="M29" s="653">
        <f>SUM(L29*20%)+L29</f>
        <v>720000</v>
      </c>
      <c r="N29" s="1498" t="s">
        <v>53</v>
      </c>
      <c r="O29" s="1498" t="s">
        <v>41</v>
      </c>
      <c r="P29" s="1502" t="s">
        <v>591</v>
      </c>
    </row>
    <row r="30" spans="1:16" s="1552" customFormat="1" ht="27" customHeight="1">
      <c r="A30" s="1501" t="s">
        <v>145</v>
      </c>
      <c r="B30" s="1501" t="s">
        <v>35</v>
      </c>
      <c r="C30" s="1498" t="s">
        <v>92</v>
      </c>
      <c r="D30" s="1498" t="s">
        <v>92</v>
      </c>
      <c r="E30" s="1499" t="s">
        <v>265</v>
      </c>
      <c r="F30" s="1498" t="s">
        <v>266</v>
      </c>
      <c r="G30" s="1498" t="s">
        <v>604</v>
      </c>
      <c r="H30" s="1499" t="s">
        <v>605</v>
      </c>
      <c r="I30" s="1513">
        <v>44743</v>
      </c>
      <c r="J30" s="1526">
        <v>84</v>
      </c>
      <c r="K30" s="1526" t="s">
        <v>573</v>
      </c>
      <c r="L30" s="653">
        <v>698000</v>
      </c>
      <c r="M30" s="653">
        <f>SUM(L30*20%)+L30</f>
        <v>837600</v>
      </c>
      <c r="N30" s="1498" t="s">
        <v>53</v>
      </c>
      <c r="O30" s="1498" t="s">
        <v>35</v>
      </c>
      <c r="P30" s="1498" t="s">
        <v>35</v>
      </c>
    </row>
    <row r="31" spans="1:16" s="1552" customFormat="1" ht="27" customHeight="1">
      <c r="A31" s="1501" t="s">
        <v>145</v>
      </c>
      <c r="B31" s="1501" t="s">
        <v>35</v>
      </c>
      <c r="C31" s="1498" t="s">
        <v>92</v>
      </c>
      <c r="D31" s="1498" t="s">
        <v>92</v>
      </c>
      <c r="E31" s="1499" t="s">
        <v>265</v>
      </c>
      <c r="F31" s="1498" t="s">
        <v>266</v>
      </c>
      <c r="G31" s="1498" t="s">
        <v>34</v>
      </c>
      <c r="H31" s="1499" t="s">
        <v>605</v>
      </c>
      <c r="I31" s="1513">
        <v>46844</v>
      </c>
      <c r="J31" s="1526" t="s">
        <v>35</v>
      </c>
      <c r="K31" s="1526" t="s">
        <v>35</v>
      </c>
      <c r="L31" s="653">
        <v>698000</v>
      </c>
      <c r="M31" s="653">
        <f>SUM(L31*20%)+L31</f>
        <v>837600</v>
      </c>
      <c r="N31" s="1498" t="s">
        <v>607</v>
      </c>
      <c r="O31" s="1498" t="s">
        <v>35</v>
      </c>
      <c r="P31" s="1498" t="s">
        <v>35</v>
      </c>
    </row>
    <row r="32" spans="1:16" s="1552" customFormat="1" ht="27" customHeight="1">
      <c r="A32" s="1501" t="s">
        <v>145</v>
      </c>
      <c r="B32" s="1501" t="s">
        <v>35</v>
      </c>
      <c r="C32" s="1498" t="s">
        <v>29</v>
      </c>
      <c r="D32" s="1498" t="s">
        <v>327</v>
      </c>
      <c r="E32" s="1527" t="s">
        <v>333</v>
      </c>
      <c r="F32" s="1498" t="s">
        <v>148</v>
      </c>
      <c r="G32" s="1498" t="s">
        <v>34</v>
      </c>
      <c r="H32" s="1527" t="s">
        <v>635</v>
      </c>
      <c r="I32" s="1513">
        <v>45017</v>
      </c>
      <c r="J32" s="1526">
        <v>60</v>
      </c>
      <c r="K32" s="1526" t="s">
        <v>636</v>
      </c>
      <c r="L32" s="653">
        <v>800000</v>
      </c>
      <c r="M32" s="653">
        <f>SUM(L32*20%)+L32</f>
        <v>960000</v>
      </c>
      <c r="N32" s="1498" t="s">
        <v>607</v>
      </c>
      <c r="O32" s="1501" t="s">
        <v>41</v>
      </c>
      <c r="P32" s="1502" t="s">
        <v>35</v>
      </c>
    </row>
    <row r="33" spans="1:16" ht="27" customHeight="1">
      <c r="A33" s="1501" t="s">
        <v>145</v>
      </c>
      <c r="B33" s="1501" t="s">
        <v>35</v>
      </c>
      <c r="C33" s="1498" t="s">
        <v>92</v>
      </c>
      <c r="D33" s="1498" t="s">
        <v>92</v>
      </c>
      <c r="E33" s="1527" t="s">
        <v>333</v>
      </c>
      <c r="F33" s="1498" t="s">
        <v>148</v>
      </c>
      <c r="G33" s="1498" t="s">
        <v>64</v>
      </c>
      <c r="H33" s="1527" t="s">
        <v>638</v>
      </c>
      <c r="I33" s="1513">
        <v>45017</v>
      </c>
      <c r="J33" s="1526">
        <v>60</v>
      </c>
      <c r="K33" s="1521" t="s">
        <v>639</v>
      </c>
      <c r="L33" s="653">
        <v>800000</v>
      </c>
      <c r="M33" s="653">
        <f>SUM(L33*20%)+L33</f>
        <v>960000</v>
      </c>
      <c r="N33" s="1498" t="s">
        <v>66</v>
      </c>
      <c r="O33" s="1498" t="s">
        <v>54</v>
      </c>
      <c r="P33" s="1498" t="s">
        <v>43</v>
      </c>
    </row>
    <row r="34" spans="1:16" ht="27" customHeight="1">
      <c r="A34" s="1501" t="s">
        <v>145</v>
      </c>
      <c r="B34" s="1501" t="s">
        <v>35</v>
      </c>
      <c r="C34" s="1498" t="s">
        <v>92</v>
      </c>
      <c r="D34" s="1498" t="s">
        <v>92</v>
      </c>
      <c r="E34" s="1527" t="s">
        <v>333</v>
      </c>
      <c r="F34" s="1498" t="s">
        <v>148</v>
      </c>
      <c r="G34" s="1498" t="s">
        <v>34</v>
      </c>
      <c r="H34" s="1499" t="s">
        <v>657</v>
      </c>
      <c r="I34" s="1513">
        <v>45017</v>
      </c>
      <c r="J34" s="1501">
        <v>60</v>
      </c>
      <c r="K34" s="1501" t="s">
        <v>162</v>
      </c>
      <c r="L34" s="653">
        <v>968000</v>
      </c>
      <c r="M34" s="653">
        <f>SUM(L34*20%)+L34</f>
        <v>1161600</v>
      </c>
      <c r="N34" s="1514" t="s">
        <v>607</v>
      </c>
      <c r="O34" s="1498" t="s">
        <v>41</v>
      </c>
      <c r="P34" s="1498" t="s">
        <v>658</v>
      </c>
    </row>
    <row r="35" spans="1:16" ht="27" customHeight="1">
      <c r="A35" s="1501" t="s">
        <v>145</v>
      </c>
      <c r="B35" s="1501" t="s">
        <v>35</v>
      </c>
      <c r="C35" s="1501" t="s">
        <v>92</v>
      </c>
      <c r="D35" s="1498" t="s">
        <v>92</v>
      </c>
      <c r="E35" s="1499" t="s">
        <v>265</v>
      </c>
      <c r="F35" s="1501" t="s">
        <v>266</v>
      </c>
      <c r="G35" s="1501" t="s">
        <v>64</v>
      </c>
      <c r="H35" s="1499" t="s">
        <v>605</v>
      </c>
      <c r="I35" s="1525">
        <v>45383</v>
      </c>
      <c r="J35" s="1501">
        <v>84</v>
      </c>
      <c r="K35" s="1501" t="s">
        <v>678</v>
      </c>
      <c r="L35" s="653">
        <v>1274000</v>
      </c>
      <c r="M35" s="653">
        <f>SUM(L35*20%)+L35</f>
        <v>1528800</v>
      </c>
      <c r="N35" s="1501" t="s">
        <v>66</v>
      </c>
      <c r="O35" s="1501" t="s">
        <v>54</v>
      </c>
      <c r="P35" s="1525" t="s">
        <v>679</v>
      </c>
    </row>
    <row r="36" spans="1:16" ht="27" customHeight="1">
      <c r="A36" s="1501" t="s">
        <v>145</v>
      </c>
      <c r="B36" s="1501" t="s">
        <v>35</v>
      </c>
      <c r="C36" s="1498" t="s">
        <v>92</v>
      </c>
      <c r="D36" s="1498" t="s">
        <v>152</v>
      </c>
      <c r="E36" s="1499" t="s">
        <v>192</v>
      </c>
      <c r="F36" s="1498" t="s">
        <v>148</v>
      </c>
      <c r="G36" s="1498" t="s">
        <v>34</v>
      </c>
      <c r="H36" s="1499" t="s">
        <v>692</v>
      </c>
      <c r="I36" s="1513">
        <v>45383</v>
      </c>
      <c r="J36" s="1501" t="s">
        <v>35</v>
      </c>
      <c r="K36" s="1501" t="s">
        <v>35</v>
      </c>
      <c r="L36" s="653">
        <v>1500000</v>
      </c>
      <c r="M36" s="653">
        <f>SUM(L36*20%)+L36</f>
        <v>1800000</v>
      </c>
      <c r="N36" s="1514" t="s">
        <v>607</v>
      </c>
      <c r="O36" s="1498" t="s">
        <v>35</v>
      </c>
      <c r="P36" s="1498" t="s">
        <v>35</v>
      </c>
    </row>
    <row r="37" spans="1:16" ht="27" customHeight="1">
      <c r="A37" s="1497" t="s">
        <v>145</v>
      </c>
      <c r="B37" s="1501" t="s">
        <v>35</v>
      </c>
      <c r="C37" s="1498" t="s">
        <v>92</v>
      </c>
      <c r="D37" s="1498" t="s">
        <v>92</v>
      </c>
      <c r="E37" s="1527" t="s">
        <v>333</v>
      </c>
      <c r="F37" s="1498" t="s">
        <v>148</v>
      </c>
      <c r="G37" s="1498" t="s">
        <v>64</v>
      </c>
      <c r="H37" s="1499" t="s">
        <v>698</v>
      </c>
      <c r="I37" s="1513">
        <v>45200</v>
      </c>
      <c r="J37" s="1563">
        <v>84</v>
      </c>
      <c r="K37" s="1564" t="s">
        <v>699</v>
      </c>
      <c r="L37" s="653">
        <v>1727447.82</v>
      </c>
      <c r="M37" s="653">
        <f>SUM(L37*20%)+L37</f>
        <v>2072937.3840000001</v>
      </c>
      <c r="N37" s="1498" t="s">
        <v>66</v>
      </c>
      <c r="O37" s="1498" t="s">
        <v>700</v>
      </c>
      <c r="P37" s="1502" t="s">
        <v>701</v>
      </c>
    </row>
    <row r="38" spans="1:16" ht="27" customHeight="1">
      <c r="A38" s="1501" t="s">
        <v>145</v>
      </c>
      <c r="B38" s="1501" t="s">
        <v>35</v>
      </c>
      <c r="C38" s="1498" t="s">
        <v>92</v>
      </c>
      <c r="D38" s="1498" t="s">
        <v>92</v>
      </c>
      <c r="E38" s="1527" t="s">
        <v>333</v>
      </c>
      <c r="F38" s="1498" t="s">
        <v>148</v>
      </c>
      <c r="G38" s="1498" t="s">
        <v>34</v>
      </c>
      <c r="H38" s="1499" t="s">
        <v>698</v>
      </c>
      <c r="I38" s="1513">
        <v>45931</v>
      </c>
      <c r="J38" s="1501" t="s">
        <v>35</v>
      </c>
      <c r="K38" s="1501" t="s">
        <v>35</v>
      </c>
      <c r="L38" s="653">
        <v>1727447.82</v>
      </c>
      <c r="M38" s="653">
        <f>SUM(L38*20%)+L38</f>
        <v>2072937.3840000001</v>
      </c>
      <c r="N38" s="1498" t="s">
        <v>607</v>
      </c>
      <c r="O38" s="1498" t="s">
        <v>700</v>
      </c>
      <c r="P38" s="1498" t="s">
        <v>35</v>
      </c>
    </row>
    <row r="39" spans="1:16" ht="27" customHeight="1">
      <c r="A39" s="1501" t="s">
        <v>145</v>
      </c>
      <c r="B39" s="1501" t="s">
        <v>35</v>
      </c>
      <c r="C39" s="1498" t="s">
        <v>92</v>
      </c>
      <c r="D39" s="1498" t="s">
        <v>92</v>
      </c>
      <c r="E39" s="1527" t="s">
        <v>333</v>
      </c>
      <c r="F39" s="1498" t="s">
        <v>148</v>
      </c>
      <c r="G39" s="1498" t="s">
        <v>64</v>
      </c>
      <c r="H39" s="1499" t="s">
        <v>705</v>
      </c>
      <c r="I39" s="1513">
        <v>45566</v>
      </c>
      <c r="J39" s="1526">
        <v>48</v>
      </c>
      <c r="K39" s="1526" t="s">
        <v>535</v>
      </c>
      <c r="L39" s="653">
        <v>1939200</v>
      </c>
      <c r="M39" s="653">
        <f>SUM(L39*20%)+L39</f>
        <v>2327040</v>
      </c>
      <c r="N39" s="1514" t="s">
        <v>66</v>
      </c>
      <c r="O39" s="1498" t="s">
        <v>41</v>
      </c>
      <c r="P39" s="1502">
        <v>43840</v>
      </c>
    </row>
    <row r="40" spans="1:16" ht="27" customHeight="1">
      <c r="A40" s="1497" t="s">
        <v>145</v>
      </c>
      <c r="B40" s="1501" t="s">
        <v>35</v>
      </c>
      <c r="C40" s="1498" t="s">
        <v>92</v>
      </c>
      <c r="D40" s="1498" t="s">
        <v>92</v>
      </c>
      <c r="E40" s="1527" t="s">
        <v>333</v>
      </c>
      <c r="F40" s="1498" t="s">
        <v>148</v>
      </c>
      <c r="G40" s="1498" t="s">
        <v>34</v>
      </c>
      <c r="H40" s="1499" t="s">
        <v>705</v>
      </c>
      <c r="I40" s="1504">
        <v>45931</v>
      </c>
      <c r="J40" s="1498" t="s">
        <v>35</v>
      </c>
      <c r="K40" s="1498" t="s">
        <v>35</v>
      </c>
      <c r="L40" s="653">
        <v>1939200</v>
      </c>
      <c r="M40" s="653">
        <f>SUM(L40*20%)+L40</f>
        <v>2327040</v>
      </c>
      <c r="N40" s="1502" t="s">
        <v>607</v>
      </c>
      <c r="O40" s="1498" t="s">
        <v>41</v>
      </c>
      <c r="P40" s="1498" t="s">
        <v>35</v>
      </c>
    </row>
    <row r="41" spans="1:16" ht="27" customHeight="1">
      <c r="A41" s="1501" t="s">
        <v>145</v>
      </c>
      <c r="B41" s="1501" t="s">
        <v>35</v>
      </c>
      <c r="C41" s="1498" t="s">
        <v>92</v>
      </c>
      <c r="D41" s="1498" t="s">
        <v>92</v>
      </c>
      <c r="E41" s="1527" t="s">
        <v>333</v>
      </c>
      <c r="F41" s="1498" t="s">
        <v>148</v>
      </c>
      <c r="G41" s="1498" t="s">
        <v>64</v>
      </c>
      <c r="H41" s="1499" t="s">
        <v>706</v>
      </c>
      <c r="I41" s="1513">
        <v>44835</v>
      </c>
      <c r="J41" s="1501">
        <v>84</v>
      </c>
      <c r="K41" s="1501" t="s">
        <v>707</v>
      </c>
      <c r="L41" s="653">
        <f>SUM(470575-38897)*5</f>
        <v>2158390</v>
      </c>
      <c r="M41" s="653">
        <f>SUM(L41*20%)+L41</f>
        <v>2590068</v>
      </c>
      <c r="N41" s="1514" t="s">
        <v>66</v>
      </c>
      <c r="O41" s="1498" t="s">
        <v>41</v>
      </c>
      <c r="P41" s="1536" t="s">
        <v>708</v>
      </c>
    </row>
    <row r="42" spans="1:16" ht="27" customHeight="1">
      <c r="A42" s="1501" t="s">
        <v>145</v>
      </c>
      <c r="B42" s="1501" t="s">
        <v>35</v>
      </c>
      <c r="C42" s="1498" t="s">
        <v>92</v>
      </c>
      <c r="D42" s="1498" t="s">
        <v>92</v>
      </c>
      <c r="E42" s="1527" t="s">
        <v>333</v>
      </c>
      <c r="F42" s="1498" t="s">
        <v>148</v>
      </c>
      <c r="G42" s="1498" t="s">
        <v>34</v>
      </c>
      <c r="H42" s="1499" t="s">
        <v>706</v>
      </c>
      <c r="I42" s="1513">
        <v>45383</v>
      </c>
      <c r="J42" s="1501" t="s">
        <v>35</v>
      </c>
      <c r="K42" s="1501" t="s">
        <v>35</v>
      </c>
      <c r="L42" s="653">
        <f>SUM(470575-38897)*5</f>
        <v>2158390</v>
      </c>
      <c r="M42" s="653">
        <f>SUM(L42*20%)+L42</f>
        <v>2590068</v>
      </c>
      <c r="N42" s="1514" t="s">
        <v>35</v>
      </c>
      <c r="O42" s="1498" t="s">
        <v>41</v>
      </c>
      <c r="P42" s="1537" t="s">
        <v>709</v>
      </c>
    </row>
    <row r="43" spans="1:16" s="1552" customFormat="1" ht="27" customHeight="1">
      <c r="A43" s="1501" t="s">
        <v>145</v>
      </c>
      <c r="B43" s="1501" t="s">
        <v>35</v>
      </c>
      <c r="C43" s="1498" t="s">
        <v>92</v>
      </c>
      <c r="D43" s="1498" t="s">
        <v>92</v>
      </c>
      <c r="E43" s="1527" t="s">
        <v>333</v>
      </c>
      <c r="F43" s="1498" t="s">
        <v>148</v>
      </c>
      <c r="G43" s="1498" t="s">
        <v>64</v>
      </c>
      <c r="H43" s="1499" t="s">
        <v>710</v>
      </c>
      <c r="I43" s="1513">
        <v>45200</v>
      </c>
      <c r="J43" s="1501">
        <v>48</v>
      </c>
      <c r="K43" s="1501" t="s">
        <v>289</v>
      </c>
      <c r="L43" s="653">
        <v>2231335</v>
      </c>
      <c r="M43" s="653">
        <f>SUM(L43*20%)+L43</f>
        <v>2677602</v>
      </c>
      <c r="N43" s="1514" t="s">
        <v>66</v>
      </c>
      <c r="O43" s="1498" t="s">
        <v>41</v>
      </c>
      <c r="P43" s="1502">
        <v>43721</v>
      </c>
    </row>
    <row r="44" spans="1:16" ht="27" customHeight="1">
      <c r="A44" s="1501" t="s">
        <v>145</v>
      </c>
      <c r="B44" s="1501" t="s">
        <v>713</v>
      </c>
      <c r="C44" s="1498" t="s">
        <v>92</v>
      </c>
      <c r="D44" s="1498" t="s">
        <v>92</v>
      </c>
      <c r="E44" s="1527" t="s">
        <v>333</v>
      </c>
      <c r="F44" s="1498" t="s">
        <v>148</v>
      </c>
      <c r="G44" s="1498" t="s">
        <v>64</v>
      </c>
      <c r="H44" s="1499" t="s">
        <v>711</v>
      </c>
      <c r="I44" s="1513">
        <v>46478</v>
      </c>
      <c r="J44" s="1526">
        <v>84</v>
      </c>
      <c r="K44" s="1526" t="s">
        <v>685</v>
      </c>
      <c r="L44" s="653">
        <v>2235000</v>
      </c>
      <c r="M44" s="653">
        <f>SUM(L44*20%)+L44</f>
        <v>2682000</v>
      </c>
      <c r="N44" s="1498" t="s">
        <v>66</v>
      </c>
      <c r="O44" s="1498" t="s">
        <v>41</v>
      </c>
      <c r="P44" s="1498" t="s">
        <v>714</v>
      </c>
    </row>
    <row r="45" spans="1:16" ht="27" customHeight="1">
      <c r="A45" s="1501" t="s">
        <v>145</v>
      </c>
      <c r="B45" s="1501" t="s">
        <v>35</v>
      </c>
      <c r="C45" s="1498" t="s">
        <v>82</v>
      </c>
      <c r="D45" s="1498" t="s">
        <v>82</v>
      </c>
      <c r="E45" s="1499" t="s">
        <v>147</v>
      </c>
      <c r="F45" s="1498" t="s">
        <v>148</v>
      </c>
      <c r="G45" s="1498" t="s">
        <v>34</v>
      </c>
      <c r="H45" s="1499" t="s">
        <v>716</v>
      </c>
      <c r="I45" s="1513">
        <v>45292</v>
      </c>
      <c r="J45" s="1526" t="s">
        <v>35</v>
      </c>
      <c r="K45" s="1526" t="s">
        <v>35</v>
      </c>
      <c r="L45" s="653">
        <v>2250000</v>
      </c>
      <c r="M45" s="653">
        <f>SUM(L45*20%)+L45</f>
        <v>2700000</v>
      </c>
      <c r="N45" s="1498" t="s">
        <v>35</v>
      </c>
      <c r="O45" s="1498" t="s">
        <v>41</v>
      </c>
      <c r="P45" s="1502" t="s">
        <v>35</v>
      </c>
    </row>
    <row r="46" spans="1:16" ht="27" customHeight="1">
      <c r="A46" s="1501" t="s">
        <v>145</v>
      </c>
      <c r="B46" s="1501" t="s">
        <v>717</v>
      </c>
      <c r="C46" s="1498" t="s">
        <v>718</v>
      </c>
      <c r="D46" s="1498" t="s">
        <v>92</v>
      </c>
      <c r="E46" s="1527" t="s">
        <v>333</v>
      </c>
      <c r="F46" s="1498" t="s">
        <v>148</v>
      </c>
      <c r="G46" s="1498" t="s">
        <v>64</v>
      </c>
      <c r="H46" s="1499" t="s">
        <v>719</v>
      </c>
      <c r="I46" s="1513">
        <v>45839</v>
      </c>
      <c r="J46" s="1526">
        <v>60</v>
      </c>
      <c r="K46" s="1526" t="s">
        <v>720</v>
      </c>
      <c r="L46" s="653">
        <v>2300000</v>
      </c>
      <c r="M46" s="653">
        <f>SUM(L46*20%)+L46</f>
        <v>2760000</v>
      </c>
      <c r="N46" s="1514" t="s">
        <v>66</v>
      </c>
      <c r="O46" s="1498" t="s">
        <v>41</v>
      </c>
      <c r="P46" s="1498" t="s">
        <v>721</v>
      </c>
    </row>
    <row r="47" spans="1:16" ht="27" customHeight="1">
      <c r="A47" s="1501" t="s">
        <v>145</v>
      </c>
      <c r="B47" s="1501" t="s">
        <v>35</v>
      </c>
      <c r="C47" s="1498" t="s">
        <v>29</v>
      </c>
      <c r="D47" s="1498" t="s">
        <v>327</v>
      </c>
      <c r="E47" s="1499" t="s">
        <v>373</v>
      </c>
      <c r="F47" s="1498" t="s">
        <v>148</v>
      </c>
      <c r="G47" s="1498" t="s">
        <v>34</v>
      </c>
      <c r="H47" s="1499" t="s">
        <v>726</v>
      </c>
      <c r="I47" s="1513">
        <v>45383</v>
      </c>
      <c r="J47" s="1526">
        <v>48</v>
      </c>
      <c r="K47" s="1526" t="s">
        <v>298</v>
      </c>
      <c r="L47" s="653">
        <v>2390599</v>
      </c>
      <c r="M47" s="653">
        <f>SUM(L47*20%)+L47</f>
        <v>2868718.8</v>
      </c>
      <c r="N47" s="1514" t="s">
        <v>607</v>
      </c>
      <c r="O47" s="1498" t="s">
        <v>41</v>
      </c>
      <c r="P47" s="1498" t="s">
        <v>35</v>
      </c>
    </row>
    <row r="48" spans="1:16" ht="27" customHeight="1">
      <c r="A48" s="1501" t="s">
        <v>145</v>
      </c>
      <c r="B48" s="1501" t="s">
        <v>727</v>
      </c>
      <c r="C48" s="1498" t="s">
        <v>92</v>
      </c>
      <c r="D48" s="1498" t="s">
        <v>92</v>
      </c>
      <c r="E48" s="1527" t="s">
        <v>333</v>
      </c>
      <c r="F48" s="1498" t="s">
        <v>148</v>
      </c>
      <c r="G48" s="1498" t="s">
        <v>64</v>
      </c>
      <c r="H48" s="1499" t="s">
        <v>728</v>
      </c>
      <c r="I48" s="1513">
        <v>45017</v>
      </c>
      <c r="J48" s="1501">
        <v>120</v>
      </c>
      <c r="K48" s="1501" t="s">
        <v>729</v>
      </c>
      <c r="L48" s="653">
        <v>2574075</v>
      </c>
      <c r="M48" s="653">
        <f>SUM(L48*20%)+L48</f>
        <v>3088890</v>
      </c>
      <c r="N48" s="1514" t="s">
        <v>66</v>
      </c>
      <c r="O48" s="1498" t="s">
        <v>700</v>
      </c>
      <c r="P48" s="1498" t="s">
        <v>730</v>
      </c>
    </row>
    <row r="49" spans="1:16" ht="27" customHeight="1">
      <c r="A49" s="1501" t="s">
        <v>145</v>
      </c>
      <c r="B49" s="1501" t="s">
        <v>43</v>
      </c>
      <c r="C49" s="1498" t="s">
        <v>92</v>
      </c>
      <c r="D49" s="1498" t="s">
        <v>92</v>
      </c>
      <c r="E49" s="1527" t="s">
        <v>333</v>
      </c>
      <c r="F49" s="1498" t="s">
        <v>148</v>
      </c>
      <c r="G49" s="1498" t="s">
        <v>34</v>
      </c>
      <c r="H49" s="1499" t="s">
        <v>732</v>
      </c>
      <c r="I49" s="1513">
        <v>45748</v>
      </c>
      <c r="J49" s="1498" t="s">
        <v>35</v>
      </c>
      <c r="K49" s="1498" t="s">
        <v>35</v>
      </c>
      <c r="L49" s="653">
        <v>2606235.6</v>
      </c>
      <c r="M49" s="653">
        <f>SUM(L49*20%)+L49</f>
        <v>3127482.72</v>
      </c>
      <c r="N49" s="1514" t="s">
        <v>733</v>
      </c>
      <c r="O49" s="1498" t="s">
        <v>41</v>
      </c>
      <c r="P49" s="1498" t="s">
        <v>35</v>
      </c>
    </row>
    <row r="50" spans="1:16" ht="27" customHeight="1">
      <c r="A50" s="1501" t="s">
        <v>145</v>
      </c>
      <c r="B50" s="1501" t="s">
        <v>35</v>
      </c>
      <c r="C50" s="1498" t="s">
        <v>82</v>
      </c>
      <c r="D50" s="1498" t="s">
        <v>82</v>
      </c>
      <c r="E50" s="1499" t="s">
        <v>315</v>
      </c>
      <c r="F50" s="1498" t="s">
        <v>316</v>
      </c>
      <c r="G50" s="1498" t="s">
        <v>34</v>
      </c>
      <c r="H50" s="1499" t="s">
        <v>738</v>
      </c>
      <c r="I50" s="1502">
        <v>44805</v>
      </c>
      <c r="J50" s="1498">
        <v>36</v>
      </c>
      <c r="K50" s="1512" t="s">
        <v>488</v>
      </c>
      <c r="L50" s="653">
        <v>2700000</v>
      </c>
      <c r="M50" s="653">
        <f>SUM(L50*20%)+L50</f>
        <v>3240000</v>
      </c>
      <c r="N50" s="1498" t="s">
        <v>733</v>
      </c>
      <c r="O50" s="1498" t="s">
        <v>41</v>
      </c>
      <c r="P50" s="1502" t="s">
        <v>739</v>
      </c>
    </row>
    <row r="51" spans="1:16" ht="27" customHeight="1">
      <c r="A51" s="1501" t="s">
        <v>145</v>
      </c>
      <c r="B51" s="1501" t="s">
        <v>35</v>
      </c>
      <c r="C51" s="1498" t="s">
        <v>92</v>
      </c>
      <c r="D51" s="1498" t="s">
        <v>92</v>
      </c>
      <c r="E51" s="1499" t="s">
        <v>265</v>
      </c>
      <c r="F51" s="1498" t="s">
        <v>266</v>
      </c>
      <c r="G51" s="1498" t="s">
        <v>34</v>
      </c>
      <c r="H51" s="1499" t="s">
        <v>740</v>
      </c>
      <c r="I51" s="1502">
        <v>45474</v>
      </c>
      <c r="J51" s="1526" t="s">
        <v>35</v>
      </c>
      <c r="K51" s="1526" t="s">
        <v>35</v>
      </c>
      <c r="L51" s="653">
        <v>2700000</v>
      </c>
      <c r="M51" s="653">
        <f>SUM(L51*20%)+L51</f>
        <v>3240000</v>
      </c>
      <c r="N51" s="1498" t="s">
        <v>607</v>
      </c>
      <c r="O51" s="1498" t="s">
        <v>700</v>
      </c>
      <c r="P51" s="1498" t="s">
        <v>741</v>
      </c>
    </row>
    <row r="52" spans="1:16" ht="27" customHeight="1">
      <c r="A52" s="1501" t="s">
        <v>145</v>
      </c>
      <c r="B52" s="1501" t="s">
        <v>35</v>
      </c>
      <c r="C52" s="1498" t="s">
        <v>92</v>
      </c>
      <c r="D52" s="1498" t="s">
        <v>92</v>
      </c>
      <c r="E52" s="1499" t="s">
        <v>265</v>
      </c>
      <c r="F52" s="1498" t="s">
        <v>266</v>
      </c>
      <c r="G52" s="1498" t="s">
        <v>64</v>
      </c>
      <c r="H52" s="1499" t="s">
        <v>740</v>
      </c>
      <c r="I52" s="1502">
        <v>45474</v>
      </c>
      <c r="J52" s="1526"/>
      <c r="K52" s="1526"/>
      <c r="L52" s="653">
        <v>2700000</v>
      </c>
      <c r="M52" s="653">
        <f>SUM(L52*20%)+L52</f>
        <v>3240000</v>
      </c>
      <c r="N52" s="1498" t="s">
        <v>66</v>
      </c>
      <c r="O52" s="1498" t="s">
        <v>700</v>
      </c>
      <c r="P52" s="1538" t="s">
        <v>742</v>
      </c>
    </row>
    <row r="53" spans="1:16" ht="27" customHeight="1">
      <c r="A53" s="1501" t="s">
        <v>145</v>
      </c>
      <c r="B53" s="1501">
        <v>52084</v>
      </c>
      <c r="C53" s="1498" t="s">
        <v>82</v>
      </c>
      <c r="D53" s="1498" t="s">
        <v>82</v>
      </c>
      <c r="E53" s="1499" t="s">
        <v>250</v>
      </c>
      <c r="F53" s="1498" t="s">
        <v>148</v>
      </c>
      <c r="G53" s="1498" t="s">
        <v>34</v>
      </c>
      <c r="H53" s="1499" t="s">
        <v>744</v>
      </c>
      <c r="I53" s="1513">
        <v>44805</v>
      </c>
      <c r="J53" s="1526">
        <v>36</v>
      </c>
      <c r="K53" s="1539" t="s">
        <v>745</v>
      </c>
      <c r="L53" s="653">
        <v>2800000</v>
      </c>
      <c r="M53" s="653">
        <f>SUM(L53*20%)+L53</f>
        <v>3360000</v>
      </c>
      <c r="N53" s="1514" t="s">
        <v>53</v>
      </c>
      <c r="O53" s="1498" t="s">
        <v>41</v>
      </c>
      <c r="P53" s="1502" t="s">
        <v>746</v>
      </c>
    </row>
    <row r="54" spans="1:16" ht="27" customHeight="1">
      <c r="A54" s="1501" t="s">
        <v>145</v>
      </c>
      <c r="B54" s="1501">
        <v>52084</v>
      </c>
      <c r="C54" s="1498" t="s">
        <v>82</v>
      </c>
      <c r="D54" s="1498" t="s">
        <v>82</v>
      </c>
      <c r="E54" s="1499" t="s">
        <v>250</v>
      </c>
      <c r="F54" s="1498" t="s">
        <v>148</v>
      </c>
      <c r="G54" s="1498" t="s">
        <v>64</v>
      </c>
      <c r="H54" s="1499" t="s">
        <v>744</v>
      </c>
      <c r="I54" s="1513">
        <v>45901</v>
      </c>
      <c r="J54" s="1526">
        <v>96</v>
      </c>
      <c r="K54" s="1526" t="s">
        <v>750</v>
      </c>
      <c r="L54" s="653">
        <v>2800000</v>
      </c>
      <c r="M54" s="653">
        <f>SUM(L54*20%)+L54</f>
        <v>3360000</v>
      </c>
      <c r="N54" s="1514" t="s">
        <v>66</v>
      </c>
      <c r="O54" s="1498" t="s">
        <v>41</v>
      </c>
      <c r="P54" s="1502" t="s">
        <v>746</v>
      </c>
    </row>
    <row r="55" spans="1:16" ht="27" customHeight="1">
      <c r="A55" s="1501" t="s">
        <v>145</v>
      </c>
      <c r="B55" s="1501">
        <v>52084</v>
      </c>
      <c r="C55" s="1498" t="s">
        <v>82</v>
      </c>
      <c r="D55" s="1498" t="s">
        <v>82</v>
      </c>
      <c r="E55" s="1499" t="s">
        <v>250</v>
      </c>
      <c r="F55" s="1498" t="s">
        <v>148</v>
      </c>
      <c r="G55" s="1498" t="s">
        <v>64</v>
      </c>
      <c r="H55" s="1499" t="s">
        <v>744</v>
      </c>
      <c r="I55" s="1513">
        <v>46997</v>
      </c>
      <c r="J55" s="1526">
        <v>96</v>
      </c>
      <c r="K55" s="1526" t="s">
        <v>751</v>
      </c>
      <c r="L55" s="653">
        <v>2800000</v>
      </c>
      <c r="M55" s="653">
        <f>SUM(L55*20%)+L55</f>
        <v>3360000</v>
      </c>
      <c r="N55" s="1514" t="s">
        <v>66</v>
      </c>
      <c r="O55" s="1498" t="s">
        <v>41</v>
      </c>
      <c r="P55" s="1502" t="s">
        <v>746</v>
      </c>
    </row>
    <row r="56" spans="1:16" ht="27" customHeight="1">
      <c r="A56" s="1501" t="s">
        <v>145</v>
      </c>
      <c r="B56" s="1501" t="s">
        <v>35</v>
      </c>
      <c r="C56" s="1498" t="s">
        <v>718</v>
      </c>
      <c r="D56" s="1498" t="s">
        <v>92</v>
      </c>
      <c r="E56" s="1499" t="s">
        <v>265</v>
      </c>
      <c r="F56" s="1498" t="s">
        <v>266</v>
      </c>
      <c r="G56" s="1498" t="s">
        <v>64</v>
      </c>
      <c r="H56" s="1499" t="s">
        <v>757</v>
      </c>
      <c r="I56" s="1513">
        <v>45748</v>
      </c>
      <c r="J56" s="1526">
        <v>60</v>
      </c>
      <c r="K56" s="1526" t="s">
        <v>507</v>
      </c>
      <c r="L56" s="653">
        <v>3180000</v>
      </c>
      <c r="M56" s="653">
        <f>SUM(L56*20%)+L56</f>
        <v>3816000</v>
      </c>
      <c r="N56" s="1498" t="s">
        <v>66</v>
      </c>
      <c r="O56" s="1498" t="s">
        <v>41</v>
      </c>
      <c r="P56" s="1502">
        <v>43805</v>
      </c>
    </row>
    <row r="57" spans="1:16" ht="27" customHeight="1">
      <c r="A57" s="1501" t="s">
        <v>145</v>
      </c>
      <c r="B57" s="1501" t="s">
        <v>35</v>
      </c>
      <c r="C57" s="1498" t="s">
        <v>92</v>
      </c>
      <c r="D57" s="1498" t="s">
        <v>152</v>
      </c>
      <c r="E57" s="1499" t="s">
        <v>192</v>
      </c>
      <c r="F57" s="1498" t="s">
        <v>148</v>
      </c>
      <c r="G57" s="1498" t="s">
        <v>34</v>
      </c>
      <c r="H57" s="1499" t="s">
        <v>766</v>
      </c>
      <c r="I57" s="1513">
        <v>45566</v>
      </c>
      <c r="J57" s="1526">
        <v>60</v>
      </c>
      <c r="K57" s="1526">
        <v>60</v>
      </c>
      <c r="L57" s="653">
        <v>3623815</v>
      </c>
      <c r="M57" s="653">
        <f>SUM(L57*20%)+L57</f>
        <v>4348578</v>
      </c>
      <c r="N57" s="1514" t="s">
        <v>607</v>
      </c>
      <c r="O57" s="1498" t="s">
        <v>41</v>
      </c>
      <c r="P57" s="1538" t="s">
        <v>767</v>
      </c>
    </row>
    <row r="58" spans="1:16" ht="27" customHeight="1">
      <c r="A58" s="1501" t="s">
        <v>145</v>
      </c>
      <c r="B58" s="1501" t="s">
        <v>35</v>
      </c>
      <c r="C58" s="1498" t="s">
        <v>92</v>
      </c>
      <c r="D58" s="1498" t="s">
        <v>92</v>
      </c>
      <c r="E58" s="1527" t="s">
        <v>333</v>
      </c>
      <c r="F58" s="1498" t="s">
        <v>148</v>
      </c>
      <c r="G58" s="1498" t="s">
        <v>50</v>
      </c>
      <c r="H58" s="1499" t="s">
        <v>768</v>
      </c>
      <c r="I58" s="1513">
        <v>45017</v>
      </c>
      <c r="J58" s="1501">
        <v>60</v>
      </c>
      <c r="K58" s="984" t="s">
        <v>358</v>
      </c>
      <c r="L58" s="653">
        <v>3800000</v>
      </c>
      <c r="M58" s="653">
        <f>SUM(L58*20%)+L58</f>
        <v>4560000</v>
      </c>
      <c r="N58" s="1514" t="s">
        <v>53</v>
      </c>
      <c r="O58" s="1498" t="s">
        <v>41</v>
      </c>
      <c r="P58" s="1498" t="s">
        <v>769</v>
      </c>
    </row>
    <row r="59" spans="1:16" ht="27" customHeight="1">
      <c r="A59" s="1497" t="s">
        <v>145</v>
      </c>
      <c r="B59" s="1501" t="s">
        <v>35</v>
      </c>
      <c r="C59" s="1498" t="s">
        <v>92</v>
      </c>
      <c r="D59" s="1498" t="s">
        <v>92</v>
      </c>
      <c r="E59" s="1527" t="s">
        <v>333</v>
      </c>
      <c r="F59" s="1498" t="s">
        <v>148</v>
      </c>
      <c r="G59" s="1498" t="s">
        <v>34</v>
      </c>
      <c r="H59" s="1499" t="s">
        <v>768</v>
      </c>
      <c r="I59" s="1504">
        <v>45383</v>
      </c>
      <c r="J59" s="1498" t="s">
        <v>35</v>
      </c>
      <c r="K59" s="1497" t="s">
        <v>35</v>
      </c>
      <c r="L59" s="653">
        <v>3800000</v>
      </c>
      <c r="M59" s="653">
        <f>SUM(L59*20%)+L59</f>
        <v>4560000</v>
      </c>
      <c r="N59" s="1502" t="s">
        <v>607</v>
      </c>
      <c r="O59" s="1498" t="s">
        <v>41</v>
      </c>
      <c r="P59" s="1538" t="s">
        <v>770</v>
      </c>
    </row>
    <row r="60" spans="1:16" ht="27" customHeight="1">
      <c r="A60" s="1501" t="s">
        <v>145</v>
      </c>
      <c r="B60" s="1501" t="s">
        <v>35</v>
      </c>
      <c r="C60" s="1498" t="s">
        <v>82</v>
      </c>
      <c r="D60" s="1498" t="s">
        <v>82</v>
      </c>
      <c r="E60" s="1499" t="s">
        <v>147</v>
      </c>
      <c r="F60" s="1498" t="s">
        <v>148</v>
      </c>
      <c r="G60" s="1498" t="s">
        <v>64</v>
      </c>
      <c r="H60" s="1499" t="s">
        <v>771</v>
      </c>
      <c r="I60" s="1513">
        <v>45017</v>
      </c>
      <c r="J60" s="1526">
        <v>60</v>
      </c>
      <c r="K60" s="1501" t="s">
        <v>351</v>
      </c>
      <c r="L60" s="653">
        <v>3861540</v>
      </c>
      <c r="M60" s="653">
        <f>SUM(L60*20%)+L60</f>
        <v>4633848</v>
      </c>
      <c r="N60" s="1498" t="s">
        <v>66</v>
      </c>
      <c r="O60" s="1498" t="s">
        <v>54</v>
      </c>
      <c r="P60" s="1513" t="s">
        <v>772</v>
      </c>
    </row>
    <row r="61" spans="1:16" ht="27" customHeight="1">
      <c r="A61" s="1501" t="s">
        <v>145</v>
      </c>
      <c r="B61" s="1501" t="s">
        <v>35</v>
      </c>
      <c r="C61" s="1498" t="s">
        <v>82</v>
      </c>
      <c r="D61" s="1498" t="s">
        <v>82</v>
      </c>
      <c r="E61" s="1499" t="s">
        <v>315</v>
      </c>
      <c r="F61" s="1498" t="s">
        <v>316</v>
      </c>
      <c r="G61" s="1498" t="s">
        <v>34</v>
      </c>
      <c r="H61" s="1499" t="s">
        <v>784</v>
      </c>
      <c r="I61" s="1513">
        <v>44866</v>
      </c>
      <c r="J61" s="1526">
        <v>60</v>
      </c>
      <c r="K61" s="1526" t="s">
        <v>785</v>
      </c>
      <c r="L61" s="653">
        <v>5000000</v>
      </c>
      <c r="M61" s="653">
        <f>SUM(L61*20%)+L61</f>
        <v>6000000</v>
      </c>
      <c r="N61" s="1514" t="s">
        <v>607</v>
      </c>
      <c r="O61" s="1498" t="s">
        <v>41</v>
      </c>
      <c r="P61" s="1502">
        <v>44341</v>
      </c>
    </row>
    <row r="62" spans="1:16" ht="27" customHeight="1">
      <c r="A62" s="1501" t="s">
        <v>145</v>
      </c>
      <c r="B62" s="1501" t="s">
        <v>35</v>
      </c>
      <c r="C62" s="1498" t="s">
        <v>463</v>
      </c>
      <c r="D62" s="1498" t="s">
        <v>152</v>
      </c>
      <c r="E62" s="1527" t="s">
        <v>216</v>
      </c>
      <c r="F62" s="1498" t="s">
        <v>790</v>
      </c>
      <c r="G62" s="1498" t="s">
        <v>34</v>
      </c>
      <c r="H62" s="1499" t="s">
        <v>791</v>
      </c>
      <c r="I62" s="1513">
        <v>45139</v>
      </c>
      <c r="J62" s="1526" t="s">
        <v>35</v>
      </c>
      <c r="K62" s="1526" t="s">
        <v>35</v>
      </c>
      <c r="L62" s="653">
        <v>5000000</v>
      </c>
      <c r="M62" s="653">
        <f>SUM(L62*20%)+L62</f>
        <v>6000000</v>
      </c>
      <c r="N62" s="1498" t="s">
        <v>46</v>
      </c>
      <c r="O62" s="1498" t="s">
        <v>41</v>
      </c>
      <c r="P62" s="1498" t="s">
        <v>35</v>
      </c>
    </row>
    <row r="63" spans="1:16" ht="27" customHeight="1">
      <c r="A63" s="1501" t="s">
        <v>145</v>
      </c>
      <c r="B63" s="1501" t="s">
        <v>571</v>
      </c>
      <c r="C63" s="1498" t="s">
        <v>796</v>
      </c>
      <c r="D63" s="1498" t="s">
        <v>92</v>
      </c>
      <c r="E63" s="1527" t="s">
        <v>333</v>
      </c>
      <c r="F63" s="1498" t="s">
        <v>148</v>
      </c>
      <c r="G63" s="1498" t="s">
        <v>64</v>
      </c>
      <c r="H63" s="1499" t="s">
        <v>797</v>
      </c>
      <c r="I63" s="1513">
        <v>45748</v>
      </c>
      <c r="J63" s="1526">
        <v>84</v>
      </c>
      <c r="K63" s="1526" t="s">
        <v>798</v>
      </c>
      <c r="L63" s="653">
        <v>5618000</v>
      </c>
      <c r="M63" s="653">
        <f>SUM(L63*20%)+L63</f>
        <v>6741600</v>
      </c>
      <c r="N63" s="1498" t="s">
        <v>66</v>
      </c>
      <c r="O63" s="1498" t="s">
        <v>41</v>
      </c>
      <c r="P63" s="1498" t="s">
        <v>574</v>
      </c>
    </row>
    <row r="64" spans="1:16" ht="27" customHeight="1">
      <c r="A64" s="1501" t="s">
        <v>145</v>
      </c>
      <c r="B64" s="1501" t="s">
        <v>35</v>
      </c>
      <c r="C64" s="1498" t="s">
        <v>82</v>
      </c>
      <c r="D64" s="1498" t="s">
        <v>82</v>
      </c>
      <c r="E64" s="1499" t="s">
        <v>147</v>
      </c>
      <c r="F64" s="1498" t="s">
        <v>148</v>
      </c>
      <c r="G64" s="1498" t="s">
        <v>34</v>
      </c>
      <c r="H64" s="1499" t="s">
        <v>802</v>
      </c>
      <c r="I64" s="1513">
        <v>46478</v>
      </c>
      <c r="J64" s="1526">
        <v>60</v>
      </c>
      <c r="K64" s="1526">
        <v>60</v>
      </c>
      <c r="L64" s="653">
        <v>6000000</v>
      </c>
      <c r="M64" s="653">
        <f>SUM(L64*20%)+L64</f>
        <v>7200000</v>
      </c>
      <c r="N64" s="1514" t="s">
        <v>607</v>
      </c>
      <c r="O64" s="1498" t="s">
        <v>41</v>
      </c>
      <c r="P64" s="1502" t="s">
        <v>35</v>
      </c>
    </row>
    <row r="65" spans="1:16" ht="27" customHeight="1">
      <c r="A65" s="1497" t="s">
        <v>145</v>
      </c>
      <c r="B65" s="1501" t="s">
        <v>35</v>
      </c>
      <c r="C65" s="1498" t="s">
        <v>92</v>
      </c>
      <c r="D65" s="1498" t="s">
        <v>92</v>
      </c>
      <c r="E65" s="1499" t="s">
        <v>265</v>
      </c>
      <c r="F65" s="1498" t="s">
        <v>266</v>
      </c>
      <c r="G65" s="1498" t="s">
        <v>64</v>
      </c>
      <c r="H65" s="1499" t="s">
        <v>817</v>
      </c>
      <c r="I65" s="1504">
        <v>45017</v>
      </c>
      <c r="J65" s="1498">
        <v>18</v>
      </c>
      <c r="K65" s="1498" t="s">
        <v>818</v>
      </c>
      <c r="L65" s="653">
        <v>8400000</v>
      </c>
      <c r="M65" s="653">
        <f>SUM(L65*20%)+L65</f>
        <v>10080000</v>
      </c>
      <c r="N65" s="1498" t="s">
        <v>66</v>
      </c>
      <c r="O65" s="1498" t="s">
        <v>35</v>
      </c>
      <c r="P65" s="1498" t="s">
        <v>35</v>
      </c>
    </row>
    <row r="66" spans="1:16" ht="27" customHeight="1">
      <c r="A66" s="1501" t="s">
        <v>145</v>
      </c>
      <c r="B66" s="1501">
        <v>50483</v>
      </c>
      <c r="C66" s="1498" t="s">
        <v>92</v>
      </c>
      <c r="D66" s="1498" t="s">
        <v>92</v>
      </c>
      <c r="E66" s="1527" t="s">
        <v>333</v>
      </c>
      <c r="F66" s="1498" t="s">
        <v>148</v>
      </c>
      <c r="G66" s="1498" t="s">
        <v>34</v>
      </c>
      <c r="H66" s="1499" t="s">
        <v>819</v>
      </c>
      <c r="I66" s="1502">
        <v>45017</v>
      </c>
      <c r="J66" s="1498" t="s">
        <v>35</v>
      </c>
      <c r="K66" s="1512" t="s">
        <v>35</v>
      </c>
      <c r="L66" s="653">
        <v>10000000</v>
      </c>
      <c r="M66" s="653">
        <f>SUM(L66*20%)+L66</f>
        <v>12000000</v>
      </c>
      <c r="N66" s="1498" t="s">
        <v>691</v>
      </c>
      <c r="O66" s="1498" t="s">
        <v>700</v>
      </c>
      <c r="P66" s="1498">
        <v>2015</v>
      </c>
    </row>
    <row r="67" spans="1:16" ht="27" customHeight="1">
      <c r="A67" s="1501" t="s">
        <v>145</v>
      </c>
      <c r="B67" s="1501" t="s">
        <v>35</v>
      </c>
      <c r="C67" s="1498" t="s">
        <v>92</v>
      </c>
      <c r="D67" s="1498" t="s">
        <v>92</v>
      </c>
      <c r="E67" s="1499" t="s">
        <v>265</v>
      </c>
      <c r="F67" s="1498" t="s">
        <v>266</v>
      </c>
      <c r="G67" s="1498" t="s">
        <v>64</v>
      </c>
      <c r="H67" s="1499" t="s">
        <v>839</v>
      </c>
      <c r="I67" s="1513">
        <v>46113</v>
      </c>
      <c r="J67" s="1526">
        <v>120</v>
      </c>
      <c r="K67" s="1526" t="s">
        <v>840</v>
      </c>
      <c r="L67" s="653">
        <v>25252489</v>
      </c>
      <c r="M67" s="653">
        <f>SUM(L67*20%)+L67</f>
        <v>30302986.800000001</v>
      </c>
      <c r="N67" s="1498" t="s">
        <v>66</v>
      </c>
      <c r="O67" s="1498" t="s">
        <v>41</v>
      </c>
      <c r="P67" s="1502" t="s">
        <v>841</v>
      </c>
    </row>
    <row r="68" spans="1:16" ht="27" customHeight="1">
      <c r="A68" s="1501" t="s">
        <v>145</v>
      </c>
      <c r="B68" s="1501" t="s">
        <v>35</v>
      </c>
      <c r="C68" s="1498" t="s">
        <v>92</v>
      </c>
      <c r="D68" s="1498" t="s">
        <v>92</v>
      </c>
      <c r="E68" s="1499" t="s">
        <v>265</v>
      </c>
      <c r="F68" s="1498" t="s">
        <v>266</v>
      </c>
      <c r="G68" s="1498" t="s">
        <v>604</v>
      </c>
      <c r="H68" s="1499" t="s">
        <v>845</v>
      </c>
      <c r="I68" s="1513">
        <v>44743</v>
      </c>
      <c r="J68" s="1526">
        <v>120</v>
      </c>
      <c r="K68" s="1526" t="s">
        <v>846</v>
      </c>
      <c r="L68" s="653">
        <v>36762000</v>
      </c>
      <c r="M68" s="653">
        <f>SUM(L68*20%)+L68</f>
        <v>44114400</v>
      </c>
      <c r="N68" s="1498" t="s">
        <v>53</v>
      </c>
      <c r="O68" s="1498" t="s">
        <v>35</v>
      </c>
      <c r="P68" s="1498" t="s">
        <v>35</v>
      </c>
    </row>
    <row r="69" spans="1:16" ht="27" customHeight="1">
      <c r="A69" s="1501" t="s">
        <v>145</v>
      </c>
      <c r="B69" s="1501" t="s">
        <v>35</v>
      </c>
      <c r="C69" s="1498" t="s">
        <v>92</v>
      </c>
      <c r="D69" s="1498" t="s">
        <v>92</v>
      </c>
      <c r="E69" s="1499" t="s">
        <v>265</v>
      </c>
      <c r="F69" s="1498" t="s">
        <v>266</v>
      </c>
      <c r="G69" s="1498" t="s">
        <v>34</v>
      </c>
      <c r="H69" s="1499" t="s">
        <v>845</v>
      </c>
      <c r="I69" s="1513">
        <v>47392</v>
      </c>
      <c r="J69" s="1526" t="s">
        <v>35</v>
      </c>
      <c r="K69" s="1526" t="s">
        <v>35</v>
      </c>
      <c r="L69" s="653">
        <v>36762000</v>
      </c>
      <c r="M69" s="653">
        <f>SUM(L69*20%)+L69</f>
        <v>44114400</v>
      </c>
      <c r="N69" s="1498" t="s">
        <v>607</v>
      </c>
      <c r="O69" s="1498" t="s">
        <v>35</v>
      </c>
      <c r="P69" s="1498" t="s">
        <v>35</v>
      </c>
    </row>
    <row r="70" spans="1:16" ht="27" customHeight="1">
      <c r="A70" s="1501" t="s">
        <v>145</v>
      </c>
      <c r="B70" s="1501" t="s">
        <v>847</v>
      </c>
      <c r="C70" s="1498" t="s">
        <v>92</v>
      </c>
      <c r="D70" s="1498" t="s">
        <v>92</v>
      </c>
      <c r="E70" s="1499" t="s">
        <v>265</v>
      </c>
      <c r="F70" s="1498" t="s">
        <v>266</v>
      </c>
      <c r="G70" s="1498" t="s">
        <v>64</v>
      </c>
      <c r="H70" s="1499" t="s">
        <v>845</v>
      </c>
      <c r="I70" s="1513">
        <v>45566</v>
      </c>
      <c r="J70" s="1501">
        <v>120</v>
      </c>
      <c r="K70" s="1526" t="s">
        <v>848</v>
      </c>
      <c r="L70" s="653">
        <v>38547674.5</v>
      </c>
      <c r="M70" s="653">
        <f>SUM(L70*20%)+L70</f>
        <v>46257209.399999999</v>
      </c>
      <c r="N70" s="1514" t="s">
        <v>607</v>
      </c>
      <c r="O70" s="1498" t="s">
        <v>54</v>
      </c>
      <c r="P70" s="1498" t="s">
        <v>35</v>
      </c>
    </row>
    <row r="71" spans="1:16" ht="27" customHeight="1">
      <c r="A71" s="1501" t="s">
        <v>145</v>
      </c>
      <c r="B71" s="1501" t="s">
        <v>851</v>
      </c>
      <c r="C71" s="1498" t="s">
        <v>718</v>
      </c>
      <c r="D71" s="1498" t="s">
        <v>92</v>
      </c>
      <c r="E71" s="1499" t="s">
        <v>265</v>
      </c>
      <c r="F71" s="1498" t="s">
        <v>266</v>
      </c>
      <c r="G71" s="1498" t="s">
        <v>64</v>
      </c>
      <c r="H71" s="1499" t="s">
        <v>852</v>
      </c>
      <c r="I71" s="1513">
        <v>45383</v>
      </c>
      <c r="J71" s="1526">
        <v>120</v>
      </c>
      <c r="K71" s="1526" t="s">
        <v>853</v>
      </c>
      <c r="L71" s="653">
        <v>70233720</v>
      </c>
      <c r="M71" s="653">
        <f>SUM(L71*20%)+L71</f>
        <v>84280464</v>
      </c>
      <c r="N71" s="1514" t="s">
        <v>66</v>
      </c>
      <c r="O71" s="1498" t="s">
        <v>41</v>
      </c>
      <c r="P71" s="1502">
        <v>43690</v>
      </c>
    </row>
    <row r="72" spans="1:16" ht="27" customHeight="1">
      <c r="A72" s="1501" t="s">
        <v>145</v>
      </c>
      <c r="B72" s="1501">
        <v>54565</v>
      </c>
      <c r="C72" s="1498" t="s">
        <v>92</v>
      </c>
      <c r="D72" s="1498" t="s">
        <v>92</v>
      </c>
      <c r="E72" s="1499" t="s">
        <v>553</v>
      </c>
      <c r="F72" s="1498" t="s">
        <v>148</v>
      </c>
      <c r="G72" s="1498" t="s">
        <v>34</v>
      </c>
      <c r="H72" s="1499" t="s">
        <v>862</v>
      </c>
      <c r="I72" s="1513">
        <v>44866</v>
      </c>
      <c r="J72" s="1501">
        <v>84</v>
      </c>
      <c r="K72" s="1501" t="s">
        <v>863</v>
      </c>
      <c r="L72" s="653">
        <v>1200000000</v>
      </c>
      <c r="M72" s="653">
        <f>SUM(L72*20%)+L72</f>
        <v>1440000000</v>
      </c>
      <c r="N72" s="1514" t="s">
        <v>607</v>
      </c>
      <c r="O72" s="1498" t="s">
        <v>700</v>
      </c>
      <c r="P72" s="1498" t="s">
        <v>864</v>
      </c>
    </row>
    <row r="73" spans="1:16" ht="27" customHeight="1">
      <c r="A73" s="1501" t="s">
        <v>145</v>
      </c>
      <c r="B73" s="1501">
        <v>54565</v>
      </c>
      <c r="C73" s="1498" t="s">
        <v>92</v>
      </c>
      <c r="D73" s="1498" t="s">
        <v>92</v>
      </c>
      <c r="E73" s="1527" t="s">
        <v>123</v>
      </c>
      <c r="F73" s="1498" t="s">
        <v>148</v>
      </c>
      <c r="G73" s="1498" t="s">
        <v>64</v>
      </c>
      <c r="H73" s="1499" t="s">
        <v>862</v>
      </c>
      <c r="I73" s="1513">
        <v>46692</v>
      </c>
      <c r="J73" s="1501">
        <v>84</v>
      </c>
      <c r="K73" s="1501" t="s">
        <v>863</v>
      </c>
      <c r="L73" s="653">
        <v>1200000000</v>
      </c>
      <c r="M73" s="653">
        <f>SUM(L73*20%)+L73</f>
        <v>1440000000</v>
      </c>
      <c r="N73" s="1498" t="s">
        <v>66</v>
      </c>
      <c r="O73" s="1498" t="s">
        <v>700</v>
      </c>
      <c r="P73" s="1498" t="s">
        <v>864</v>
      </c>
    </row>
    <row r="74" spans="1:16" ht="27" customHeight="1">
      <c r="A74" s="1501" t="s">
        <v>145</v>
      </c>
      <c r="B74" s="1501" t="s">
        <v>35</v>
      </c>
      <c r="C74" s="1498" t="s">
        <v>92</v>
      </c>
      <c r="D74" s="1498" t="s">
        <v>92</v>
      </c>
      <c r="E74" s="1527" t="s">
        <v>123</v>
      </c>
      <c r="F74" s="1498" t="s">
        <v>148</v>
      </c>
      <c r="G74" s="1498" t="s">
        <v>34</v>
      </c>
      <c r="H74" s="1499" t="s">
        <v>710</v>
      </c>
      <c r="I74" s="1513">
        <v>45566</v>
      </c>
      <c r="J74" s="1501" t="s">
        <v>35</v>
      </c>
      <c r="K74" s="1501" t="s">
        <v>35</v>
      </c>
      <c r="L74" s="653" t="s">
        <v>35</v>
      </c>
      <c r="M74" s="653" t="e">
        <f>SUM(L74*20%)+L74</f>
        <v>#VALUE!</v>
      </c>
      <c r="N74" s="1514" t="s">
        <v>607</v>
      </c>
      <c r="O74" s="1498" t="s">
        <v>41</v>
      </c>
      <c r="P74" s="1498" t="s">
        <v>35</v>
      </c>
    </row>
    <row r="75" spans="1:16" ht="27" customHeight="1">
      <c r="A75" s="1501" t="s">
        <v>145</v>
      </c>
      <c r="B75" s="1501" t="s">
        <v>35</v>
      </c>
      <c r="C75" s="1498" t="s">
        <v>92</v>
      </c>
      <c r="D75" s="1498" t="s">
        <v>92</v>
      </c>
      <c r="E75" s="1499" t="s">
        <v>265</v>
      </c>
      <c r="F75" s="1498" t="s">
        <v>266</v>
      </c>
      <c r="G75" s="1498" t="s">
        <v>34</v>
      </c>
      <c r="H75" s="1499" t="s">
        <v>890</v>
      </c>
      <c r="I75" s="1502">
        <v>45383</v>
      </c>
      <c r="J75" s="1498" t="s">
        <v>35</v>
      </c>
      <c r="K75" s="1512" t="s">
        <v>35</v>
      </c>
      <c r="L75" s="653" t="s">
        <v>891</v>
      </c>
      <c r="M75" s="653" t="e">
        <f>SUM(L75*20%)+L75</f>
        <v>#VALUE!</v>
      </c>
      <c r="N75" s="1498" t="s">
        <v>607</v>
      </c>
      <c r="O75" s="1498" t="s">
        <v>700</v>
      </c>
      <c r="P75" s="1498" t="s">
        <v>892</v>
      </c>
    </row>
    <row r="76" spans="1:16" ht="27" customHeight="1">
      <c r="A76" s="1501" t="s">
        <v>145</v>
      </c>
      <c r="B76" s="1501" t="s">
        <v>35</v>
      </c>
      <c r="C76" s="1498" t="s">
        <v>29</v>
      </c>
      <c r="D76" s="1498" t="s">
        <v>86</v>
      </c>
      <c r="E76" s="1499" t="s">
        <v>133</v>
      </c>
      <c r="F76" s="1498" t="s">
        <v>316</v>
      </c>
      <c r="G76" s="1498" t="s">
        <v>34</v>
      </c>
      <c r="H76" s="1499" t="s">
        <v>899</v>
      </c>
      <c r="I76" s="1513">
        <v>45017</v>
      </c>
      <c r="J76" s="1526" t="s">
        <v>35</v>
      </c>
      <c r="K76" s="1526" t="s">
        <v>35</v>
      </c>
      <c r="L76" s="653" t="s">
        <v>35</v>
      </c>
      <c r="M76" s="653" t="e">
        <f>SUM(L76*20%)+L76</f>
        <v>#VALUE!</v>
      </c>
      <c r="N76" s="1498" t="s">
        <v>737</v>
      </c>
      <c r="O76" s="1501" t="s">
        <v>41</v>
      </c>
      <c r="P76" s="1502" t="s">
        <v>35</v>
      </c>
    </row>
    <row r="77" spans="1:16" ht="27" customHeight="1">
      <c r="A77" s="1501" t="s">
        <v>145</v>
      </c>
      <c r="B77" s="1501" t="s">
        <v>35</v>
      </c>
      <c r="C77" s="1498" t="s">
        <v>82</v>
      </c>
      <c r="D77" s="1498" t="s">
        <v>82</v>
      </c>
      <c r="E77" s="1499" t="s">
        <v>315</v>
      </c>
      <c r="F77" s="1498" t="s">
        <v>316</v>
      </c>
      <c r="G77" s="1498" t="s">
        <v>64</v>
      </c>
      <c r="H77" s="1499" t="s">
        <v>903</v>
      </c>
      <c r="I77" s="1513">
        <v>45017</v>
      </c>
      <c r="J77" s="1526">
        <v>168</v>
      </c>
      <c r="K77" s="1501" t="s">
        <v>904</v>
      </c>
      <c r="L77" s="653" t="s">
        <v>35</v>
      </c>
      <c r="M77" s="653" t="e">
        <f>SUM(L77*20%)+L77</f>
        <v>#VALUE!</v>
      </c>
      <c r="N77" s="1514" t="s">
        <v>66</v>
      </c>
      <c r="O77" s="1498" t="s">
        <v>54</v>
      </c>
      <c r="P77" s="1498" t="s">
        <v>43</v>
      </c>
    </row>
    <row r="78" spans="1:16" ht="27" customHeight="1">
      <c r="A78" s="1501" t="s">
        <v>145</v>
      </c>
      <c r="B78" s="1501" t="s">
        <v>35</v>
      </c>
      <c r="C78" s="1498" t="s">
        <v>82</v>
      </c>
      <c r="D78" s="1498" t="s">
        <v>82</v>
      </c>
      <c r="E78" s="1499" t="s">
        <v>147</v>
      </c>
      <c r="F78" s="1498" t="s">
        <v>148</v>
      </c>
      <c r="G78" s="1498" t="s">
        <v>34</v>
      </c>
      <c r="H78" s="1499" t="s">
        <v>911</v>
      </c>
      <c r="I78" s="1513">
        <v>45200</v>
      </c>
      <c r="J78" s="1501">
        <v>26</v>
      </c>
      <c r="K78" s="1501" t="s">
        <v>912</v>
      </c>
      <c r="L78" s="1501" t="s">
        <v>35</v>
      </c>
      <c r="M78" s="653" t="e">
        <f>SUM(L78*20%)+L78</f>
        <v>#VALUE!</v>
      </c>
      <c r="N78" s="1514" t="s">
        <v>607</v>
      </c>
      <c r="O78" s="1498" t="s">
        <v>41</v>
      </c>
      <c r="P78" s="1502" t="s">
        <v>35</v>
      </c>
    </row>
    <row r="79" spans="1:16" ht="27" customHeight="1">
      <c r="A79" s="1501" t="s">
        <v>145</v>
      </c>
      <c r="B79" s="1501" t="s">
        <v>35</v>
      </c>
      <c r="C79" s="1498" t="s">
        <v>82</v>
      </c>
      <c r="D79" s="1498" t="s">
        <v>82</v>
      </c>
      <c r="E79" s="1499" t="s">
        <v>147</v>
      </c>
      <c r="F79" s="1498" t="s">
        <v>148</v>
      </c>
      <c r="G79" s="1498" t="s">
        <v>34</v>
      </c>
      <c r="H79" s="1499" t="s">
        <v>913</v>
      </c>
      <c r="I79" s="1513">
        <v>45200</v>
      </c>
      <c r="J79" s="1501">
        <v>26</v>
      </c>
      <c r="K79" s="1501" t="s">
        <v>912</v>
      </c>
      <c r="L79" s="1501" t="s">
        <v>35</v>
      </c>
      <c r="M79" s="653" t="e">
        <f>SUM(L79*20%)+L79</f>
        <v>#VALUE!</v>
      </c>
      <c r="N79" s="1514" t="s">
        <v>607</v>
      </c>
      <c r="O79" s="1498" t="s">
        <v>41</v>
      </c>
      <c r="P79" s="1502" t="s">
        <v>35</v>
      </c>
    </row>
    <row r="80" spans="1:16" s="1552" customFormat="1" ht="27" customHeight="1">
      <c r="A80" s="1501" t="s">
        <v>145</v>
      </c>
      <c r="B80" s="1501" t="s">
        <v>35</v>
      </c>
      <c r="C80" s="1498" t="s">
        <v>92</v>
      </c>
      <c r="D80" s="1498" t="s">
        <v>92</v>
      </c>
      <c r="E80" s="1527" t="s">
        <v>333</v>
      </c>
      <c r="F80" s="1498" t="s">
        <v>148</v>
      </c>
      <c r="G80" s="1498" t="s">
        <v>34</v>
      </c>
      <c r="H80" s="1499" t="s">
        <v>914</v>
      </c>
      <c r="I80" s="1513">
        <v>45231</v>
      </c>
      <c r="J80" s="1501" t="s">
        <v>35</v>
      </c>
      <c r="K80" s="1501" t="s">
        <v>35</v>
      </c>
      <c r="L80" s="653" t="s">
        <v>35</v>
      </c>
      <c r="M80" s="653" t="e">
        <f>SUM(L80*20%)+L80</f>
        <v>#VALUE!</v>
      </c>
      <c r="N80" s="1514" t="s">
        <v>607</v>
      </c>
      <c r="O80" s="1498" t="s">
        <v>41</v>
      </c>
      <c r="P80" s="1498" t="s">
        <v>915</v>
      </c>
    </row>
    <row r="81" spans="1:16" ht="27" customHeight="1">
      <c r="A81" s="1501" t="s">
        <v>145</v>
      </c>
      <c r="B81" s="1501" t="s">
        <v>35</v>
      </c>
      <c r="C81" s="1498" t="s">
        <v>92</v>
      </c>
      <c r="D81" s="1498" t="s">
        <v>92</v>
      </c>
      <c r="E81" s="1527" t="s">
        <v>333</v>
      </c>
      <c r="F81" s="1498" t="s">
        <v>148</v>
      </c>
      <c r="G81" s="1498" t="s">
        <v>34</v>
      </c>
      <c r="H81" s="1499" t="s">
        <v>918</v>
      </c>
      <c r="I81" s="1513">
        <v>45261</v>
      </c>
      <c r="J81" s="1526">
        <v>84</v>
      </c>
      <c r="K81" s="1526" t="s">
        <v>712</v>
      </c>
      <c r="L81" s="653" t="s">
        <v>35</v>
      </c>
      <c r="M81" s="653" t="e">
        <f>SUM(L81*20%)+L81</f>
        <v>#VALUE!</v>
      </c>
      <c r="N81" s="1498" t="s">
        <v>98</v>
      </c>
      <c r="O81" s="1498" t="s">
        <v>35</v>
      </c>
      <c r="P81" s="1498" t="s">
        <v>35</v>
      </c>
    </row>
    <row r="82" spans="1:16" ht="27" customHeight="1">
      <c r="A82" s="1501" t="s">
        <v>145</v>
      </c>
      <c r="B82" s="1501" t="s">
        <v>35</v>
      </c>
      <c r="C82" s="1498" t="s">
        <v>82</v>
      </c>
      <c r="D82" s="1498" t="s">
        <v>82</v>
      </c>
      <c r="E82" s="1499" t="s">
        <v>250</v>
      </c>
      <c r="F82" s="1498" t="s">
        <v>148</v>
      </c>
      <c r="G82" s="1498" t="s">
        <v>34</v>
      </c>
      <c r="H82" s="1499" t="s">
        <v>919</v>
      </c>
      <c r="I82" s="1513">
        <v>45383</v>
      </c>
      <c r="J82" s="1526" t="s">
        <v>35</v>
      </c>
      <c r="K82" s="1526" t="s">
        <v>35</v>
      </c>
      <c r="L82" s="653" t="s">
        <v>35</v>
      </c>
      <c r="M82" s="653" t="e">
        <f>SUM(L82*20%)+L82</f>
        <v>#VALUE!</v>
      </c>
      <c r="N82" s="1514" t="s">
        <v>607</v>
      </c>
      <c r="O82" s="1498" t="s">
        <v>700</v>
      </c>
      <c r="P82" s="1501" t="s">
        <v>35</v>
      </c>
    </row>
    <row r="83" spans="1:16" ht="27" customHeight="1">
      <c r="A83" s="1501" t="s">
        <v>145</v>
      </c>
      <c r="B83" s="1501" t="s">
        <v>35</v>
      </c>
      <c r="C83" s="1498" t="s">
        <v>82</v>
      </c>
      <c r="D83" s="1498" t="s">
        <v>82</v>
      </c>
      <c r="E83" s="1499" t="s">
        <v>250</v>
      </c>
      <c r="F83" s="1498" t="s">
        <v>316</v>
      </c>
      <c r="G83" s="1498" t="s">
        <v>34</v>
      </c>
      <c r="H83" s="1499" t="s">
        <v>929</v>
      </c>
      <c r="I83" s="1513">
        <v>45170</v>
      </c>
      <c r="J83" s="1526" t="s">
        <v>35</v>
      </c>
      <c r="K83" s="1526" t="s">
        <v>35</v>
      </c>
      <c r="L83" s="653" t="s">
        <v>35</v>
      </c>
      <c r="M83" s="653" t="e">
        <f>SUM(L83*20%)+L83</f>
        <v>#VALUE!</v>
      </c>
      <c r="N83" s="1514" t="s">
        <v>163</v>
      </c>
      <c r="O83" s="1498" t="s">
        <v>36</v>
      </c>
      <c r="P83" s="1501" t="s">
        <v>37</v>
      </c>
    </row>
    <row r="84" spans="1:16" ht="27" customHeight="1">
      <c r="A84" s="1501" t="s">
        <v>145</v>
      </c>
      <c r="B84" s="1501" t="s">
        <v>35</v>
      </c>
      <c r="C84" s="1498" t="s">
        <v>92</v>
      </c>
      <c r="D84" s="1498" t="s">
        <v>92</v>
      </c>
      <c r="E84" s="1527" t="s">
        <v>333</v>
      </c>
      <c r="F84" s="1498" t="s">
        <v>148</v>
      </c>
      <c r="G84" s="1498" t="s">
        <v>34</v>
      </c>
      <c r="H84" s="1499" t="s">
        <v>932</v>
      </c>
      <c r="I84" s="1513">
        <v>45383</v>
      </c>
      <c r="J84" s="1526" t="s">
        <v>35</v>
      </c>
      <c r="K84" s="1526" t="s">
        <v>35</v>
      </c>
      <c r="L84" s="1526" t="s">
        <v>35</v>
      </c>
      <c r="M84" s="653" t="e">
        <f>SUM(L84*20%)+L84</f>
        <v>#VALUE!</v>
      </c>
      <c r="N84" s="1514" t="s">
        <v>163</v>
      </c>
      <c r="O84" s="1498" t="s">
        <v>35</v>
      </c>
      <c r="P84" s="1498" t="s">
        <v>35</v>
      </c>
    </row>
    <row r="85" spans="1:16" ht="27" customHeight="1">
      <c r="A85" s="1501" t="s">
        <v>145</v>
      </c>
      <c r="B85" s="1501" t="s">
        <v>35</v>
      </c>
      <c r="C85" s="1498" t="s">
        <v>92</v>
      </c>
      <c r="D85" s="1498" t="s">
        <v>92</v>
      </c>
      <c r="E85" s="1527" t="s">
        <v>333</v>
      </c>
      <c r="F85" s="1498" t="s">
        <v>148</v>
      </c>
      <c r="G85" s="1498" t="s">
        <v>34</v>
      </c>
      <c r="H85" s="1499" t="s">
        <v>938</v>
      </c>
      <c r="I85" s="1513">
        <v>45383</v>
      </c>
      <c r="J85" s="1501" t="s">
        <v>35</v>
      </c>
      <c r="K85" s="1501" t="s">
        <v>35</v>
      </c>
      <c r="L85" s="1501" t="s">
        <v>35</v>
      </c>
      <c r="M85" s="653" t="e">
        <f>SUM(L85*20%)+L85</f>
        <v>#VALUE!</v>
      </c>
      <c r="N85" s="1514" t="s">
        <v>98</v>
      </c>
      <c r="O85" s="1498" t="s">
        <v>35</v>
      </c>
      <c r="P85" s="1498" t="s">
        <v>35</v>
      </c>
    </row>
    <row r="86" spans="1:16" ht="27" customHeight="1">
      <c r="A86" s="1501" t="s">
        <v>145</v>
      </c>
      <c r="B86" s="1501" t="s">
        <v>35</v>
      </c>
      <c r="C86" s="1501" t="s">
        <v>29</v>
      </c>
      <c r="D86" s="1501" t="s">
        <v>195</v>
      </c>
      <c r="E86" s="1527" t="s">
        <v>943</v>
      </c>
      <c r="F86" s="1498" t="s">
        <v>148</v>
      </c>
      <c r="G86" s="1498" t="s">
        <v>34</v>
      </c>
      <c r="H86" s="1499" t="s">
        <v>944</v>
      </c>
      <c r="I86" s="1502">
        <v>45352</v>
      </c>
      <c r="J86" s="1498" t="s">
        <v>35</v>
      </c>
      <c r="K86" s="1512" t="s">
        <v>35</v>
      </c>
      <c r="L86" s="653" t="s">
        <v>35</v>
      </c>
      <c r="M86" s="653" t="e">
        <f>SUM(L86*20%)+L86</f>
        <v>#VALUE!</v>
      </c>
      <c r="N86" s="1498" t="s">
        <v>35</v>
      </c>
      <c r="O86" s="1498" t="s">
        <v>35</v>
      </c>
      <c r="P86" s="1498" t="s">
        <v>35</v>
      </c>
    </row>
    <row r="87" spans="1:16" ht="27" customHeight="1">
      <c r="A87" s="1501" t="s">
        <v>145</v>
      </c>
      <c r="B87" s="1501" t="s">
        <v>35</v>
      </c>
      <c r="C87" s="1498" t="s">
        <v>82</v>
      </c>
      <c r="D87" s="1498" t="s">
        <v>82</v>
      </c>
      <c r="E87" s="1499" t="s">
        <v>147</v>
      </c>
      <c r="F87" s="1498" t="s">
        <v>945</v>
      </c>
      <c r="G87" s="1498" t="s">
        <v>34</v>
      </c>
      <c r="H87" s="1499" t="s">
        <v>946</v>
      </c>
      <c r="I87" s="1513">
        <v>45352</v>
      </c>
      <c r="J87" s="1526" t="s">
        <v>35</v>
      </c>
      <c r="K87" s="1526" t="s">
        <v>35</v>
      </c>
      <c r="L87" s="653" t="s">
        <v>35</v>
      </c>
      <c r="M87" s="653" t="e">
        <f>SUM(L87*20%)+L87</f>
        <v>#VALUE!</v>
      </c>
      <c r="N87" s="1514" t="s">
        <v>35</v>
      </c>
      <c r="O87" s="1498" t="s">
        <v>54</v>
      </c>
      <c r="P87" s="1502" t="s">
        <v>43</v>
      </c>
    </row>
    <row r="88" spans="1:16" ht="27" customHeight="1">
      <c r="A88" s="1501" t="s">
        <v>145</v>
      </c>
      <c r="B88" s="1501" t="s">
        <v>35</v>
      </c>
      <c r="C88" s="1498" t="s">
        <v>82</v>
      </c>
      <c r="D88" s="1498" t="s">
        <v>82</v>
      </c>
      <c r="E88" s="1499" t="s">
        <v>147</v>
      </c>
      <c r="F88" s="1498" t="s">
        <v>148</v>
      </c>
      <c r="G88" s="1498" t="s">
        <v>34</v>
      </c>
      <c r="H88" s="1499" t="s">
        <v>949</v>
      </c>
      <c r="I88" s="1513">
        <v>45383</v>
      </c>
      <c r="J88" s="1526" t="s">
        <v>35</v>
      </c>
      <c r="K88" s="1526" t="s">
        <v>35</v>
      </c>
      <c r="L88" s="653" t="s">
        <v>35</v>
      </c>
      <c r="M88" s="653" t="e">
        <f>SUM(L88*20%)+L88</f>
        <v>#VALUE!</v>
      </c>
      <c r="N88" s="1514" t="s">
        <v>35</v>
      </c>
      <c r="O88" s="1498" t="s">
        <v>35</v>
      </c>
      <c r="P88" s="1498" t="s">
        <v>35</v>
      </c>
    </row>
    <row r="89" spans="1:16" ht="27" customHeight="1">
      <c r="A89" s="1501" t="s">
        <v>145</v>
      </c>
      <c r="B89" s="1501" t="s">
        <v>35</v>
      </c>
      <c r="C89" s="1498" t="s">
        <v>92</v>
      </c>
      <c r="D89" s="1498" t="s">
        <v>92</v>
      </c>
      <c r="E89" s="1499" t="s">
        <v>553</v>
      </c>
      <c r="F89" s="1498" t="s">
        <v>148</v>
      </c>
      <c r="G89" s="1498" t="s">
        <v>955</v>
      </c>
      <c r="H89" s="1499" t="s">
        <v>956</v>
      </c>
      <c r="I89" s="1525">
        <v>45383</v>
      </c>
      <c r="J89" s="1501" t="s">
        <v>35</v>
      </c>
      <c r="K89" s="1501" t="s">
        <v>35</v>
      </c>
      <c r="L89" s="1501" t="s">
        <v>35</v>
      </c>
      <c r="M89" s="653" t="e">
        <f>SUM(L89*20%)+L89</f>
        <v>#VALUE!</v>
      </c>
      <c r="N89" s="1514" t="s">
        <v>66</v>
      </c>
      <c r="O89" s="1498" t="s">
        <v>41</v>
      </c>
      <c r="P89" s="1502">
        <v>44631</v>
      </c>
    </row>
    <row r="90" spans="1:16" ht="27" customHeight="1">
      <c r="A90" s="1497" t="s">
        <v>145</v>
      </c>
      <c r="B90" s="1498" t="s">
        <v>975</v>
      </c>
      <c r="C90" s="1498" t="s">
        <v>29</v>
      </c>
      <c r="D90" s="1498" t="s">
        <v>327</v>
      </c>
      <c r="E90" s="1499" t="s">
        <v>373</v>
      </c>
      <c r="F90" s="1498" t="s">
        <v>119</v>
      </c>
      <c r="G90" s="1498" t="s">
        <v>34</v>
      </c>
      <c r="H90" s="1499" t="s">
        <v>976</v>
      </c>
      <c r="I90" s="1504">
        <v>45383</v>
      </c>
      <c r="J90" s="1498" t="s">
        <v>35</v>
      </c>
      <c r="K90" s="1498" t="s">
        <v>35</v>
      </c>
      <c r="L90" s="653" t="s">
        <v>35</v>
      </c>
      <c r="M90" s="653" t="e">
        <f>SUM(L90*20%)+L90</f>
        <v>#VALUE!</v>
      </c>
      <c r="N90" s="1498" t="s">
        <v>35</v>
      </c>
      <c r="O90" s="1498" t="s">
        <v>35</v>
      </c>
      <c r="P90" s="1498" t="s">
        <v>35</v>
      </c>
    </row>
    <row r="91" spans="1:16" ht="27" customHeight="1">
      <c r="A91" s="1497" t="s">
        <v>145</v>
      </c>
      <c r="B91" s="1498" t="s">
        <v>977</v>
      </c>
      <c r="C91" s="1498" t="s">
        <v>29</v>
      </c>
      <c r="D91" s="1498" t="s">
        <v>327</v>
      </c>
      <c r="E91" s="1499" t="s">
        <v>373</v>
      </c>
      <c r="F91" s="1498" t="s">
        <v>119</v>
      </c>
      <c r="G91" s="1498" t="s">
        <v>34</v>
      </c>
      <c r="H91" s="1499" t="s">
        <v>978</v>
      </c>
      <c r="I91" s="1504">
        <v>45383</v>
      </c>
      <c r="J91" s="1498" t="s">
        <v>35</v>
      </c>
      <c r="K91" s="1498" t="s">
        <v>35</v>
      </c>
      <c r="L91" s="653" t="s">
        <v>35</v>
      </c>
      <c r="M91" s="653" t="e">
        <f>SUM(L91*20%)+L91</f>
        <v>#VALUE!</v>
      </c>
      <c r="N91" s="1498" t="s">
        <v>35</v>
      </c>
      <c r="O91" s="1498" t="s">
        <v>35</v>
      </c>
      <c r="P91" s="1498" t="s">
        <v>35</v>
      </c>
    </row>
    <row r="92" spans="1:16" s="1552" customFormat="1" ht="27" customHeight="1">
      <c r="A92" s="1497" t="s">
        <v>145</v>
      </c>
      <c r="B92" s="1498" t="s">
        <v>977</v>
      </c>
      <c r="C92" s="1498" t="s">
        <v>29</v>
      </c>
      <c r="D92" s="1498" t="s">
        <v>327</v>
      </c>
      <c r="E92" s="1499" t="s">
        <v>373</v>
      </c>
      <c r="F92" s="1498" t="s">
        <v>119</v>
      </c>
      <c r="G92" s="1498" t="s">
        <v>34</v>
      </c>
      <c r="H92" s="1499" t="s">
        <v>979</v>
      </c>
      <c r="I92" s="1504">
        <v>45383</v>
      </c>
      <c r="J92" s="1498" t="s">
        <v>35</v>
      </c>
      <c r="K92" s="1498" t="s">
        <v>35</v>
      </c>
      <c r="L92" s="653" t="s">
        <v>35</v>
      </c>
      <c r="M92" s="653" t="e">
        <f>SUM(L92*20%)+L92</f>
        <v>#VALUE!</v>
      </c>
      <c r="N92" s="1498" t="s">
        <v>35</v>
      </c>
      <c r="O92" s="1498" t="s">
        <v>35</v>
      </c>
      <c r="P92" s="1498" t="s">
        <v>35</v>
      </c>
    </row>
    <row r="93" spans="1:16" s="1552" customFormat="1" ht="27" customHeight="1">
      <c r="A93" s="1501" t="s">
        <v>145</v>
      </c>
      <c r="B93" s="1501" t="s">
        <v>35</v>
      </c>
      <c r="C93" s="1498" t="s">
        <v>82</v>
      </c>
      <c r="D93" s="1498" t="s">
        <v>82</v>
      </c>
      <c r="E93" s="1499" t="s">
        <v>315</v>
      </c>
      <c r="F93" s="1498" t="s">
        <v>148</v>
      </c>
      <c r="G93" s="1498" t="s">
        <v>34</v>
      </c>
      <c r="H93" s="1499" t="s">
        <v>980</v>
      </c>
      <c r="I93" s="1513">
        <v>45505</v>
      </c>
      <c r="J93" s="1501">
        <v>48</v>
      </c>
      <c r="K93" s="1526" t="s">
        <v>35</v>
      </c>
      <c r="L93" s="653" t="s">
        <v>35</v>
      </c>
      <c r="M93" s="653" t="e">
        <f>SUM(L93*20%)+L93</f>
        <v>#VALUE!</v>
      </c>
      <c r="N93" s="1514" t="s">
        <v>35</v>
      </c>
      <c r="O93" s="1498" t="s">
        <v>41</v>
      </c>
      <c r="P93" s="1513" t="s">
        <v>35</v>
      </c>
    </row>
    <row r="94" spans="1:16" s="1552" customFormat="1" ht="27" customHeight="1">
      <c r="A94" s="1501" t="s">
        <v>145</v>
      </c>
      <c r="B94" s="1501" t="s">
        <v>35</v>
      </c>
      <c r="C94" s="1498" t="s">
        <v>82</v>
      </c>
      <c r="D94" s="1498" t="s">
        <v>82</v>
      </c>
      <c r="E94" s="1499" t="s">
        <v>315</v>
      </c>
      <c r="F94" s="1498" t="s">
        <v>148</v>
      </c>
      <c r="G94" s="1498" t="s">
        <v>34</v>
      </c>
      <c r="H94" s="1499" t="s">
        <v>981</v>
      </c>
      <c r="I94" s="1513">
        <v>45505</v>
      </c>
      <c r="J94" s="1501">
        <v>48</v>
      </c>
      <c r="K94" s="1526" t="s">
        <v>35</v>
      </c>
      <c r="L94" s="653" t="s">
        <v>35</v>
      </c>
      <c r="M94" s="653" t="e">
        <f>SUM(L94*20%)+L94</f>
        <v>#VALUE!</v>
      </c>
      <c r="N94" s="1514" t="s">
        <v>35</v>
      </c>
      <c r="O94" s="1498" t="s">
        <v>41</v>
      </c>
      <c r="P94" s="1513" t="s">
        <v>35</v>
      </c>
    </row>
    <row r="95" spans="1:16" ht="27" customHeight="1">
      <c r="A95" s="1501" t="s">
        <v>145</v>
      </c>
      <c r="B95" s="1501" t="s">
        <v>35</v>
      </c>
      <c r="C95" s="1498" t="s">
        <v>82</v>
      </c>
      <c r="D95" s="1498" t="s">
        <v>82</v>
      </c>
      <c r="E95" s="1499" t="s">
        <v>315</v>
      </c>
      <c r="F95" s="1498" t="s">
        <v>316</v>
      </c>
      <c r="G95" s="1498" t="s">
        <v>34</v>
      </c>
      <c r="H95" s="1499" t="s">
        <v>984</v>
      </c>
      <c r="I95" s="1513">
        <v>45383</v>
      </c>
      <c r="J95" s="1526" t="s">
        <v>35</v>
      </c>
      <c r="K95" s="1501" t="s">
        <v>35</v>
      </c>
      <c r="L95" s="653" t="s">
        <v>35</v>
      </c>
      <c r="M95" s="653" t="e">
        <f>SUM(L95*20%)+L95</f>
        <v>#VALUE!</v>
      </c>
      <c r="N95" s="1514" t="s">
        <v>163</v>
      </c>
      <c r="O95" s="1498" t="s">
        <v>35</v>
      </c>
      <c r="P95" s="1498" t="s">
        <v>35</v>
      </c>
    </row>
    <row r="96" spans="1:16" s="1552" customFormat="1" ht="27" customHeight="1">
      <c r="A96" s="1497" t="s">
        <v>145</v>
      </c>
      <c r="B96" s="1501" t="s">
        <v>35</v>
      </c>
      <c r="C96" s="1497" t="s">
        <v>82</v>
      </c>
      <c r="D96" s="1498" t="s">
        <v>82</v>
      </c>
      <c r="E96" s="1499" t="s">
        <v>147</v>
      </c>
      <c r="F96" s="1498" t="s">
        <v>148</v>
      </c>
      <c r="G96" s="1497" t="s">
        <v>34</v>
      </c>
      <c r="H96" s="1508" t="s">
        <v>986</v>
      </c>
      <c r="I96" s="1504">
        <v>45658</v>
      </c>
      <c r="J96" s="1497" t="s">
        <v>35</v>
      </c>
      <c r="K96" s="1497" t="s">
        <v>35</v>
      </c>
      <c r="L96" s="653" t="s">
        <v>35</v>
      </c>
      <c r="M96" s="653" t="e">
        <f>SUM(L96*20%)+L96</f>
        <v>#VALUE!</v>
      </c>
      <c r="N96" s="1501" t="s">
        <v>607</v>
      </c>
      <c r="O96" s="1498" t="s">
        <v>41</v>
      </c>
      <c r="P96" s="1502" t="s">
        <v>35</v>
      </c>
    </row>
    <row r="97" spans="1:16" ht="27" customHeight="1">
      <c r="A97" s="1501" t="s">
        <v>145</v>
      </c>
      <c r="B97" s="1501" t="s">
        <v>35</v>
      </c>
      <c r="C97" s="1501" t="s">
        <v>92</v>
      </c>
      <c r="D97" s="1498" t="s">
        <v>92</v>
      </c>
      <c r="E97" s="1527" t="s">
        <v>333</v>
      </c>
      <c r="F97" s="1501" t="s">
        <v>148</v>
      </c>
      <c r="G97" s="1498" t="s">
        <v>879</v>
      </c>
      <c r="H97" s="1527" t="s">
        <v>996</v>
      </c>
      <c r="I97" s="1502">
        <v>45748</v>
      </c>
      <c r="J97" s="1501" t="s">
        <v>35</v>
      </c>
      <c r="K97" s="1501" t="s">
        <v>35</v>
      </c>
      <c r="L97" s="1501" t="s">
        <v>35</v>
      </c>
      <c r="M97" s="653" t="e">
        <f>SUM(L97*20%)+L97</f>
        <v>#VALUE!</v>
      </c>
      <c r="N97" s="1514" t="s">
        <v>35</v>
      </c>
      <c r="O97" s="1501" t="s">
        <v>700</v>
      </c>
      <c r="P97" s="1501" t="s">
        <v>997</v>
      </c>
    </row>
    <row r="98" spans="1:16" ht="27" customHeight="1">
      <c r="A98" s="1501" t="s">
        <v>145</v>
      </c>
      <c r="B98" s="1501" t="s">
        <v>35</v>
      </c>
      <c r="C98" s="1498" t="s">
        <v>92</v>
      </c>
      <c r="D98" s="1498" t="s">
        <v>92</v>
      </c>
      <c r="E98" s="1499" t="s">
        <v>265</v>
      </c>
      <c r="F98" s="1498" t="s">
        <v>266</v>
      </c>
      <c r="G98" s="1498" t="s">
        <v>34</v>
      </c>
      <c r="H98" s="1499" t="s">
        <v>1016</v>
      </c>
      <c r="I98" s="1513">
        <v>45748</v>
      </c>
      <c r="J98" s="1501">
        <v>60</v>
      </c>
      <c r="K98" s="984">
        <v>60</v>
      </c>
      <c r="L98" s="653" t="s">
        <v>35</v>
      </c>
      <c r="M98" s="653" t="e">
        <f>SUM(L98*20%)+L98</f>
        <v>#VALUE!</v>
      </c>
      <c r="N98" s="1514" t="s">
        <v>607</v>
      </c>
      <c r="O98" s="1498" t="s">
        <v>700</v>
      </c>
      <c r="P98" s="1498" t="s">
        <v>35</v>
      </c>
    </row>
    <row r="99" spans="1:16" s="1552" customFormat="1" ht="27" customHeight="1">
      <c r="A99" s="1501" t="s">
        <v>145</v>
      </c>
      <c r="B99" s="1501" t="s">
        <v>35</v>
      </c>
      <c r="C99" s="1498" t="s">
        <v>92</v>
      </c>
      <c r="D99" s="1498" t="s">
        <v>92</v>
      </c>
      <c r="E99" s="1499" t="s">
        <v>265</v>
      </c>
      <c r="F99" s="1498" t="s">
        <v>266</v>
      </c>
      <c r="G99" s="1498" t="s">
        <v>34</v>
      </c>
      <c r="H99" s="1499" t="s">
        <v>1017</v>
      </c>
      <c r="I99" s="1513">
        <v>45748</v>
      </c>
      <c r="J99" s="1501">
        <v>60</v>
      </c>
      <c r="K99" s="984">
        <v>60</v>
      </c>
      <c r="L99" s="653" t="s">
        <v>35</v>
      </c>
      <c r="M99" s="653" t="e">
        <f>SUM(L99*20%)+L99</f>
        <v>#VALUE!</v>
      </c>
      <c r="N99" s="1514" t="s">
        <v>607</v>
      </c>
      <c r="O99" s="1498" t="s">
        <v>700</v>
      </c>
      <c r="P99" s="1498" t="s">
        <v>35</v>
      </c>
    </row>
    <row r="100" spans="1:16" ht="27" customHeight="1">
      <c r="A100" s="1497" t="s">
        <v>145</v>
      </c>
      <c r="B100" s="1498" t="s">
        <v>35</v>
      </c>
      <c r="C100" s="1498" t="s">
        <v>29</v>
      </c>
      <c r="D100" s="1498" t="s">
        <v>152</v>
      </c>
      <c r="E100" s="1499" t="s">
        <v>161</v>
      </c>
      <c r="F100" s="1498" t="s">
        <v>450</v>
      </c>
      <c r="G100" s="1498" t="s">
        <v>34</v>
      </c>
      <c r="H100" s="1499" t="s">
        <v>1032</v>
      </c>
      <c r="I100" s="1504">
        <v>45824</v>
      </c>
      <c r="J100" s="1498" t="s">
        <v>35</v>
      </c>
      <c r="K100" s="1512" t="s">
        <v>35</v>
      </c>
      <c r="L100" s="653" t="s">
        <v>35</v>
      </c>
      <c r="M100" s="653" t="e">
        <f>SUM(L100*20%)+L100</f>
        <v>#VALUE!</v>
      </c>
      <c r="N100" s="1498" t="s">
        <v>35</v>
      </c>
      <c r="O100" s="1506" t="s">
        <v>54</v>
      </c>
      <c r="P100" s="1498" t="s">
        <v>37</v>
      </c>
    </row>
    <row r="101" spans="1:16" ht="27" customHeight="1">
      <c r="A101" s="1501" t="s">
        <v>145</v>
      </c>
      <c r="B101" s="1501" t="s">
        <v>35</v>
      </c>
      <c r="C101" s="1498" t="s">
        <v>82</v>
      </c>
      <c r="D101" s="1498" t="s">
        <v>82</v>
      </c>
      <c r="E101" s="1499" t="s">
        <v>250</v>
      </c>
      <c r="F101" s="1498" t="s">
        <v>148</v>
      </c>
      <c r="G101" s="1498" t="s">
        <v>34</v>
      </c>
      <c r="H101" s="1520" t="s">
        <v>1048</v>
      </c>
      <c r="I101" s="1525" t="s">
        <v>35</v>
      </c>
      <c r="J101" s="1514" t="s">
        <v>35</v>
      </c>
      <c r="K101" s="1514" t="s">
        <v>35</v>
      </c>
      <c r="L101" s="653" t="s">
        <v>35</v>
      </c>
      <c r="M101" s="653" t="e">
        <f>SUM(L101*20%)+L101</f>
        <v>#VALUE!</v>
      </c>
      <c r="N101" s="1514" t="s">
        <v>35</v>
      </c>
      <c r="O101" s="1498" t="s">
        <v>35</v>
      </c>
      <c r="P101" s="1498" t="s">
        <v>35</v>
      </c>
    </row>
    <row r="102" spans="1:16" ht="27" customHeight="1">
      <c r="A102" s="1501" t="s">
        <v>145</v>
      </c>
      <c r="B102" s="1501" t="s">
        <v>35</v>
      </c>
      <c r="C102" s="1498" t="s">
        <v>92</v>
      </c>
      <c r="D102" s="1498" t="s">
        <v>152</v>
      </c>
      <c r="E102" s="1499" t="s">
        <v>192</v>
      </c>
      <c r="F102" s="1498" t="s">
        <v>171</v>
      </c>
      <c r="G102" s="1498" t="s">
        <v>34</v>
      </c>
      <c r="H102" s="1520" t="s">
        <v>1049</v>
      </c>
      <c r="I102" s="1513" t="s">
        <v>35</v>
      </c>
      <c r="J102" s="1501" t="s">
        <v>35</v>
      </c>
      <c r="K102" s="1501" t="s">
        <v>35</v>
      </c>
      <c r="L102" s="653" t="s">
        <v>35</v>
      </c>
      <c r="M102" s="653" t="e">
        <f>SUM(L102*20%)+L102</f>
        <v>#VALUE!</v>
      </c>
      <c r="N102" s="1514" t="s">
        <v>163</v>
      </c>
      <c r="O102" s="1498" t="s">
        <v>54</v>
      </c>
      <c r="P102" s="1498" t="s">
        <v>43</v>
      </c>
    </row>
    <row r="103" spans="1:16" ht="27" customHeight="1">
      <c r="A103" s="1500" t="s">
        <v>48</v>
      </c>
      <c r="B103" s="1500" t="s">
        <v>37</v>
      </c>
      <c r="C103" s="1501" t="s">
        <v>29</v>
      </c>
      <c r="D103" s="1498" t="s">
        <v>31</v>
      </c>
      <c r="E103" s="1499" t="s">
        <v>32</v>
      </c>
      <c r="F103" s="1501" t="s">
        <v>49</v>
      </c>
      <c r="G103" s="1498" t="s">
        <v>50</v>
      </c>
      <c r="H103" s="1499" t="s">
        <v>51</v>
      </c>
      <c r="I103" s="1502">
        <v>45323</v>
      </c>
      <c r="J103" s="1511" t="s">
        <v>37</v>
      </c>
      <c r="K103" s="1511" t="s">
        <v>37</v>
      </c>
      <c r="L103" s="653"/>
      <c r="M103" s="653" t="str">
        <f>IF(ISNUMBER(L103),SUM(L103*20%)+L103,"")</f>
        <v/>
      </c>
      <c r="N103" s="1540" t="s">
        <v>53</v>
      </c>
      <c r="O103" s="1502" t="s">
        <v>54</v>
      </c>
      <c r="P103" s="1502" t="s">
        <v>37</v>
      </c>
    </row>
    <row r="104" spans="1:16" ht="27" customHeight="1">
      <c r="A104" s="1500" t="s">
        <v>48</v>
      </c>
      <c r="B104" s="1500" t="s">
        <v>35</v>
      </c>
      <c r="C104" s="1501" t="s">
        <v>29</v>
      </c>
      <c r="D104" s="1498" t="s">
        <v>31</v>
      </c>
      <c r="E104" s="1499" t="s">
        <v>32</v>
      </c>
      <c r="F104" s="1501" t="s">
        <v>49</v>
      </c>
      <c r="G104" s="1498" t="s">
        <v>34</v>
      </c>
      <c r="H104" s="1499" t="s">
        <v>57</v>
      </c>
      <c r="I104" s="1502">
        <v>45383</v>
      </c>
      <c r="J104" s="1511"/>
      <c r="K104" s="1511"/>
      <c r="L104" s="653"/>
      <c r="M104" s="653" t="str">
        <f>IF(ISNUMBER(L104),SUM(L104*20%)+L104,"")</f>
        <v/>
      </c>
      <c r="N104" s="1540" t="s">
        <v>35</v>
      </c>
      <c r="O104" s="1502" t="s">
        <v>41</v>
      </c>
      <c r="P104" s="1502" t="s">
        <v>35</v>
      </c>
    </row>
    <row r="105" spans="1:16" ht="27" customHeight="1">
      <c r="A105" s="1500" t="s">
        <v>48</v>
      </c>
      <c r="B105" s="1500" t="s">
        <v>125</v>
      </c>
      <c r="C105" s="1501" t="s">
        <v>60</v>
      </c>
      <c r="D105" s="1498" t="s">
        <v>61</v>
      </c>
      <c r="E105" s="1527" t="s">
        <v>126</v>
      </c>
      <c r="F105" s="1501" t="s">
        <v>127</v>
      </c>
      <c r="G105" s="1498" t="s">
        <v>34</v>
      </c>
      <c r="H105" s="1499" t="s">
        <v>128</v>
      </c>
      <c r="I105" s="1502">
        <v>45140</v>
      </c>
      <c r="J105" s="1511" t="s">
        <v>125</v>
      </c>
      <c r="K105" s="1511" t="s">
        <v>125</v>
      </c>
      <c r="L105" s="653"/>
      <c r="M105" s="653" t="str">
        <f>IF(ISNUMBER(L105),SUM(L105*20%)+L105,"")</f>
        <v/>
      </c>
      <c r="N105" s="1502" t="s">
        <v>129</v>
      </c>
      <c r="O105" s="1502" t="s">
        <v>36</v>
      </c>
      <c r="P105" s="1500" t="s">
        <v>125</v>
      </c>
    </row>
    <row r="106" spans="1:16" ht="27" customHeight="1">
      <c r="A106" s="1500" t="s">
        <v>48</v>
      </c>
      <c r="B106" s="1500" t="s">
        <v>35</v>
      </c>
      <c r="C106" s="1501" t="s">
        <v>105</v>
      </c>
      <c r="D106" s="1498" t="s">
        <v>31</v>
      </c>
      <c r="E106" s="1508" t="s">
        <v>32</v>
      </c>
      <c r="F106" s="1501" t="s">
        <v>176</v>
      </c>
      <c r="G106" s="1498" t="s">
        <v>34</v>
      </c>
      <c r="H106" s="1499" t="s">
        <v>177</v>
      </c>
      <c r="I106" s="1502">
        <v>45017</v>
      </c>
      <c r="J106" s="1511"/>
      <c r="K106" s="1511"/>
      <c r="L106" s="653">
        <v>50000</v>
      </c>
      <c r="M106" s="653">
        <f>IF(ISNUMBER(L106),SUM(L106*20%)+L106,"")</f>
        <v>60000</v>
      </c>
      <c r="N106" s="1502" t="s">
        <v>35</v>
      </c>
      <c r="O106" s="1502" t="s">
        <v>37</v>
      </c>
      <c r="P106" s="1502" t="s">
        <v>37</v>
      </c>
    </row>
    <row r="107" spans="1:16" ht="27" customHeight="1">
      <c r="A107" s="1500" t="s">
        <v>48</v>
      </c>
      <c r="B107" s="1500" t="s">
        <v>125</v>
      </c>
      <c r="C107" s="1501" t="s">
        <v>60</v>
      </c>
      <c r="D107" s="1498" t="s">
        <v>61</v>
      </c>
      <c r="E107" s="1527" t="s">
        <v>126</v>
      </c>
      <c r="F107" s="1501" t="s">
        <v>127</v>
      </c>
      <c r="G107" s="1500" t="s">
        <v>34</v>
      </c>
      <c r="H107" s="1519" t="s">
        <v>185</v>
      </c>
      <c r="I107" s="1515">
        <v>45108</v>
      </c>
      <c r="J107" s="1516" t="s">
        <v>125</v>
      </c>
      <c r="K107" s="1516" t="s">
        <v>125</v>
      </c>
      <c r="L107" s="653">
        <v>50000</v>
      </c>
      <c r="M107" s="653">
        <f>IF(ISNUMBER(L107),SUM(L107*20%)+L107,"")</f>
        <v>60000</v>
      </c>
      <c r="N107" s="1502" t="s">
        <v>186</v>
      </c>
      <c r="O107" s="1502" t="s">
        <v>36</v>
      </c>
      <c r="P107" s="1502"/>
    </row>
    <row r="108" spans="1:16" ht="27" customHeight="1">
      <c r="A108" s="1501" t="s">
        <v>48</v>
      </c>
      <c r="B108" s="1501" t="s">
        <v>35</v>
      </c>
      <c r="C108" s="1498" t="s">
        <v>60</v>
      </c>
      <c r="D108" s="1498" t="s">
        <v>61</v>
      </c>
      <c r="E108" s="1527" t="s">
        <v>126</v>
      </c>
      <c r="F108" s="1498" t="s">
        <v>49</v>
      </c>
      <c r="G108" s="1498" t="s">
        <v>34</v>
      </c>
      <c r="H108" s="1523" t="s">
        <v>187</v>
      </c>
      <c r="I108" s="1513">
        <v>45413</v>
      </c>
      <c r="J108" s="1526" t="s">
        <v>188</v>
      </c>
      <c r="K108" s="1526" t="s">
        <v>188</v>
      </c>
      <c r="L108" s="653">
        <v>50000</v>
      </c>
      <c r="M108" s="653">
        <f>IF(ISNUMBER(L108),SUM(L108*20%)+L108,"")</f>
        <v>60000</v>
      </c>
      <c r="N108" s="1498" t="s">
        <v>163</v>
      </c>
      <c r="O108" s="1498" t="s">
        <v>35</v>
      </c>
      <c r="P108" s="1498" t="s">
        <v>35</v>
      </c>
    </row>
    <row r="109" spans="1:16" ht="27" customHeight="1">
      <c r="A109" s="1500" t="s">
        <v>48</v>
      </c>
      <c r="B109" s="1500" t="s">
        <v>125</v>
      </c>
      <c r="C109" s="1501" t="s">
        <v>60</v>
      </c>
      <c r="D109" s="1498" t="s">
        <v>61</v>
      </c>
      <c r="E109" s="1527" t="s">
        <v>126</v>
      </c>
      <c r="F109" s="1501" t="s">
        <v>127</v>
      </c>
      <c r="G109" s="1500" t="s">
        <v>34</v>
      </c>
      <c r="H109" s="1520" t="s">
        <v>189</v>
      </c>
      <c r="I109" s="1515">
        <v>45236</v>
      </c>
      <c r="J109" s="1516" t="s">
        <v>125</v>
      </c>
      <c r="K109" s="1516" t="s">
        <v>125</v>
      </c>
      <c r="L109" s="653">
        <v>50000</v>
      </c>
      <c r="M109" s="653">
        <f>IF(ISNUMBER(L109),SUM(L109*20%)+L109,"")</f>
        <v>60000</v>
      </c>
      <c r="N109" s="1502" t="s">
        <v>163</v>
      </c>
      <c r="O109" s="1502" t="s">
        <v>36</v>
      </c>
      <c r="P109" s="1502" t="s">
        <v>125</v>
      </c>
    </row>
    <row r="110" spans="1:16" s="1552" customFormat="1" ht="27" customHeight="1">
      <c r="A110" s="1500" t="s">
        <v>48</v>
      </c>
      <c r="B110" s="1500" t="s">
        <v>125</v>
      </c>
      <c r="C110" s="1501" t="s">
        <v>60</v>
      </c>
      <c r="D110" s="1498" t="s">
        <v>61</v>
      </c>
      <c r="E110" s="1527" t="s">
        <v>126</v>
      </c>
      <c r="F110" s="1501" t="s">
        <v>127</v>
      </c>
      <c r="G110" s="1500" t="s">
        <v>34</v>
      </c>
      <c r="H110" s="1519" t="s">
        <v>201</v>
      </c>
      <c r="I110" s="1515">
        <v>45108</v>
      </c>
      <c r="J110" s="1516">
        <v>1</v>
      </c>
      <c r="K110" s="1516">
        <v>1</v>
      </c>
      <c r="L110" s="653">
        <v>55000</v>
      </c>
      <c r="M110" s="653">
        <f>IF(ISNUMBER(L110),SUM(L110*20%)+L110,"")</f>
        <v>66000</v>
      </c>
      <c r="N110" s="1502" t="s">
        <v>129</v>
      </c>
      <c r="O110" s="1502" t="s">
        <v>36</v>
      </c>
      <c r="P110" s="1502" t="s">
        <v>125</v>
      </c>
    </row>
    <row r="111" spans="1:16" ht="27" customHeight="1">
      <c r="A111" s="1500" t="s">
        <v>48</v>
      </c>
      <c r="B111" s="1500" t="s">
        <v>125</v>
      </c>
      <c r="C111" s="1529" t="s">
        <v>214</v>
      </c>
      <c r="D111" s="1498" t="s">
        <v>31</v>
      </c>
      <c r="E111" s="1499" t="s">
        <v>32</v>
      </c>
      <c r="F111" s="1501" t="s">
        <v>49</v>
      </c>
      <c r="G111" s="1500" t="s">
        <v>64</v>
      </c>
      <c r="H111" s="1519" t="s">
        <v>215</v>
      </c>
      <c r="I111" s="1515">
        <v>45047</v>
      </c>
      <c r="J111" s="1516">
        <v>12</v>
      </c>
      <c r="K111" s="1516">
        <v>12</v>
      </c>
      <c r="L111" s="653">
        <v>60000</v>
      </c>
      <c r="M111" s="653">
        <f>IF(ISNUMBER(L111),SUM(L111*20%)+L111,"")</f>
        <v>72000</v>
      </c>
      <c r="N111" s="1502" t="s">
        <v>66</v>
      </c>
      <c r="O111" s="1502" t="s">
        <v>100</v>
      </c>
      <c r="P111" s="1502" t="s">
        <v>100</v>
      </c>
    </row>
    <row r="112" spans="1:16" ht="27" customHeight="1">
      <c r="A112" s="1500" t="s">
        <v>48</v>
      </c>
      <c r="B112" s="1500" t="s">
        <v>125</v>
      </c>
      <c r="C112" s="1529" t="s">
        <v>214</v>
      </c>
      <c r="D112" s="1498" t="s">
        <v>31</v>
      </c>
      <c r="E112" s="1499" t="s">
        <v>32</v>
      </c>
      <c r="F112" s="1501" t="s">
        <v>49</v>
      </c>
      <c r="G112" s="1500" t="s">
        <v>64</v>
      </c>
      <c r="H112" s="1522" t="s">
        <v>221</v>
      </c>
      <c r="I112" s="1515">
        <v>45413</v>
      </c>
      <c r="J112" s="1516">
        <v>12</v>
      </c>
      <c r="K112" s="1516">
        <v>12</v>
      </c>
      <c r="L112" s="653">
        <v>60000</v>
      </c>
      <c r="M112" s="653">
        <f>IF(ISNUMBER(L112),SUM(L112*20%)+L112,"")</f>
        <v>72000</v>
      </c>
      <c r="N112" s="1502" t="s">
        <v>98</v>
      </c>
      <c r="O112" s="1502" t="s">
        <v>100</v>
      </c>
      <c r="P112" s="1502" t="s">
        <v>100</v>
      </c>
    </row>
    <row r="113" spans="1:16" ht="27" customHeight="1">
      <c r="A113" s="1500" t="s">
        <v>48</v>
      </c>
      <c r="B113" s="1500" t="s">
        <v>125</v>
      </c>
      <c r="C113" s="1501" t="s">
        <v>223</v>
      </c>
      <c r="D113" s="1498" t="s">
        <v>61</v>
      </c>
      <c r="E113" s="1527" t="s">
        <v>126</v>
      </c>
      <c r="F113" s="1501" t="s">
        <v>127</v>
      </c>
      <c r="G113" s="1500" t="s">
        <v>34</v>
      </c>
      <c r="H113" s="1519" t="s">
        <v>224</v>
      </c>
      <c r="I113" s="1515" t="s">
        <v>125</v>
      </c>
      <c r="J113" s="1516">
        <v>1</v>
      </c>
      <c r="K113" s="1516">
        <v>1</v>
      </c>
      <c r="L113" s="653">
        <v>60000</v>
      </c>
      <c r="M113" s="653">
        <f>IF(ISNUMBER(L113),SUM(L113*20%)+L113,"")</f>
        <v>72000</v>
      </c>
      <c r="N113" s="1502" t="s">
        <v>163</v>
      </c>
      <c r="O113" s="1502" t="s">
        <v>36</v>
      </c>
      <c r="P113" s="1502" t="s">
        <v>125</v>
      </c>
    </row>
    <row r="114" spans="1:16" ht="27" customHeight="1">
      <c r="A114" s="1500" t="s">
        <v>48</v>
      </c>
      <c r="B114" s="1500" t="s">
        <v>125</v>
      </c>
      <c r="C114" s="1501" t="s">
        <v>60</v>
      </c>
      <c r="D114" s="1498" t="s">
        <v>61</v>
      </c>
      <c r="E114" s="1527" t="s">
        <v>126</v>
      </c>
      <c r="F114" s="1501" t="s">
        <v>127</v>
      </c>
      <c r="G114" s="1500" t="s">
        <v>34</v>
      </c>
      <c r="H114" s="1519" t="s">
        <v>225</v>
      </c>
      <c r="I114" s="1515">
        <v>45078</v>
      </c>
      <c r="J114" s="1516">
        <v>6</v>
      </c>
      <c r="K114" s="1516">
        <v>1</v>
      </c>
      <c r="L114" s="653">
        <v>60000</v>
      </c>
      <c r="M114" s="653">
        <f>IF(ISNUMBER(L114),SUM(L114*20%)+L114,"")</f>
        <v>72000</v>
      </c>
      <c r="N114" s="1502" t="s">
        <v>163</v>
      </c>
      <c r="O114" s="1502" t="s">
        <v>36</v>
      </c>
      <c r="P114" s="1502" t="s">
        <v>125</v>
      </c>
    </row>
    <row r="115" spans="1:16" ht="27" customHeight="1">
      <c r="A115" s="1500" t="s">
        <v>48</v>
      </c>
      <c r="B115" s="1500" t="s">
        <v>125</v>
      </c>
      <c r="C115" s="1529" t="s">
        <v>214</v>
      </c>
      <c r="D115" s="1498" t="s">
        <v>31</v>
      </c>
      <c r="E115" s="1499" t="s">
        <v>32</v>
      </c>
      <c r="F115" s="1501" t="s">
        <v>49</v>
      </c>
      <c r="G115" s="1500" t="s">
        <v>64</v>
      </c>
      <c r="H115" s="1519" t="s">
        <v>215</v>
      </c>
      <c r="I115" s="1515">
        <v>45413</v>
      </c>
      <c r="J115" s="1516">
        <v>12</v>
      </c>
      <c r="K115" s="1516">
        <v>12</v>
      </c>
      <c r="L115" s="653">
        <v>60000</v>
      </c>
      <c r="M115" s="653">
        <f>IF(ISNUMBER(L115),SUM(L115*20%)+L115,"")</f>
        <v>72000</v>
      </c>
      <c r="N115" s="1502" t="s">
        <v>66</v>
      </c>
      <c r="O115" s="1502" t="s">
        <v>100</v>
      </c>
      <c r="P115" s="1502" t="s">
        <v>100</v>
      </c>
    </row>
    <row r="116" spans="1:16" ht="27" customHeight="1">
      <c r="A116" s="1500" t="s">
        <v>48</v>
      </c>
      <c r="B116" s="1500" t="s">
        <v>125</v>
      </c>
      <c r="C116" s="1501" t="s">
        <v>60</v>
      </c>
      <c r="D116" s="1498" t="s">
        <v>61</v>
      </c>
      <c r="E116" s="1527" t="s">
        <v>126</v>
      </c>
      <c r="F116" s="1501" t="s">
        <v>127</v>
      </c>
      <c r="G116" s="1500" t="s">
        <v>34</v>
      </c>
      <c r="H116" s="1519" t="s">
        <v>227</v>
      </c>
      <c r="I116" s="1515">
        <v>45170</v>
      </c>
      <c r="J116" s="1516" t="s">
        <v>125</v>
      </c>
      <c r="K116" s="1516" t="s">
        <v>125</v>
      </c>
      <c r="L116" s="653">
        <v>60000</v>
      </c>
      <c r="M116" s="653">
        <f>IF(ISNUMBER(L116),SUM(L116*20%)+L116,"")</f>
        <v>72000</v>
      </c>
      <c r="N116" s="1502" t="s">
        <v>186</v>
      </c>
      <c r="O116" s="1502" t="s">
        <v>36</v>
      </c>
      <c r="P116" s="1502" t="s">
        <v>125</v>
      </c>
    </row>
    <row r="117" spans="1:16" ht="27" customHeight="1">
      <c r="A117" s="1500" t="s">
        <v>48</v>
      </c>
      <c r="B117" s="1500" t="s">
        <v>125</v>
      </c>
      <c r="C117" s="1501" t="s">
        <v>29</v>
      </c>
      <c r="D117" s="1498" t="s">
        <v>31</v>
      </c>
      <c r="E117" s="1508" t="s">
        <v>32</v>
      </c>
      <c r="F117" s="1501" t="s">
        <v>49</v>
      </c>
      <c r="G117" s="1498" t="s">
        <v>34</v>
      </c>
      <c r="H117" s="1520" t="s">
        <v>231</v>
      </c>
      <c r="I117" s="1502">
        <v>44958</v>
      </c>
      <c r="J117" s="1511">
        <f>5*12</f>
        <v>60</v>
      </c>
      <c r="K117" s="1511" t="s">
        <v>125</v>
      </c>
      <c r="L117" s="653">
        <f>5*12000</f>
        <v>60000</v>
      </c>
      <c r="M117" s="653">
        <f>IF(ISNUMBER(L117),SUM(L117*20%)+L117,"")</f>
        <v>72000</v>
      </c>
      <c r="N117" s="1502" t="s">
        <v>163</v>
      </c>
      <c r="O117" s="1502" t="s">
        <v>36</v>
      </c>
      <c r="P117" s="1502" t="s">
        <v>125</v>
      </c>
    </row>
    <row r="118" spans="1:16" ht="27" customHeight="1">
      <c r="A118" s="1500" t="s">
        <v>48</v>
      </c>
      <c r="B118" s="1500" t="s">
        <v>125</v>
      </c>
      <c r="C118" s="1500" t="s">
        <v>60</v>
      </c>
      <c r="D118" s="1501" t="s">
        <v>61</v>
      </c>
      <c r="E118" s="1527" t="s">
        <v>32</v>
      </c>
      <c r="F118" s="1501" t="s">
        <v>127</v>
      </c>
      <c r="G118" s="1500" t="s">
        <v>34</v>
      </c>
      <c r="H118" s="1520" t="s">
        <v>232</v>
      </c>
      <c r="I118" s="1515" t="s">
        <v>125</v>
      </c>
      <c r="J118" s="1516" t="s">
        <v>125</v>
      </c>
      <c r="K118" s="1516" t="s">
        <v>125</v>
      </c>
      <c r="L118" s="653">
        <v>60000</v>
      </c>
      <c r="M118" s="653">
        <f>IF(ISNUMBER(L118),SUM(L118*20%)+L118,"")</f>
        <v>72000</v>
      </c>
      <c r="N118" s="1502" t="s">
        <v>46</v>
      </c>
      <c r="O118" s="1502" t="s">
        <v>43</v>
      </c>
      <c r="P118" s="1502" t="s">
        <v>100</v>
      </c>
    </row>
    <row r="119" spans="1:16" ht="27" customHeight="1" collapsed="1">
      <c r="A119" s="1500" t="s">
        <v>48</v>
      </c>
      <c r="B119" s="1500" t="s">
        <v>269</v>
      </c>
      <c r="C119" s="1501" t="s">
        <v>223</v>
      </c>
      <c r="D119" s="1498" t="s">
        <v>61</v>
      </c>
      <c r="E119" s="1527" t="s">
        <v>126</v>
      </c>
      <c r="F119" s="1501" t="s">
        <v>127</v>
      </c>
      <c r="G119" s="1500" t="s">
        <v>34</v>
      </c>
      <c r="H119" s="1519" t="s">
        <v>270</v>
      </c>
      <c r="I119" s="1515">
        <v>44988</v>
      </c>
      <c r="J119" s="1516">
        <v>1</v>
      </c>
      <c r="K119" s="1516">
        <v>1</v>
      </c>
      <c r="L119" s="653">
        <v>75000</v>
      </c>
      <c r="M119" s="653">
        <f>IF(ISNUMBER(L119),SUM(L119*20%)+L119,"")</f>
        <v>90000</v>
      </c>
      <c r="N119" s="1502" t="s">
        <v>129</v>
      </c>
      <c r="O119" s="1502" t="s">
        <v>36</v>
      </c>
      <c r="P119" s="1502" t="s">
        <v>43</v>
      </c>
    </row>
    <row r="120" spans="1:16" ht="27" customHeight="1">
      <c r="A120" s="1500" t="s">
        <v>48</v>
      </c>
      <c r="B120" s="1500">
        <v>73244</v>
      </c>
      <c r="C120" s="1501" t="s">
        <v>60</v>
      </c>
      <c r="D120" s="1498" t="s">
        <v>61</v>
      </c>
      <c r="E120" s="1527" t="s">
        <v>126</v>
      </c>
      <c r="F120" s="1501" t="s">
        <v>127</v>
      </c>
      <c r="G120" s="1500" t="s">
        <v>34</v>
      </c>
      <c r="H120" s="1519" t="s">
        <v>271</v>
      </c>
      <c r="I120" s="1515">
        <v>45107</v>
      </c>
      <c r="J120" s="1516" t="s">
        <v>125</v>
      </c>
      <c r="K120" s="1516" t="s">
        <v>125</v>
      </c>
      <c r="L120" s="653">
        <v>75000</v>
      </c>
      <c r="M120" s="653">
        <f>IF(ISNUMBER(L120),SUM(L120*20%)+L120,"")</f>
        <v>90000</v>
      </c>
      <c r="N120" s="1502" t="s">
        <v>163</v>
      </c>
      <c r="O120" s="1502" t="s">
        <v>36</v>
      </c>
      <c r="P120" s="1502" t="s">
        <v>125</v>
      </c>
    </row>
    <row r="121" spans="1:16" ht="27" customHeight="1">
      <c r="A121" s="1500" t="s">
        <v>48</v>
      </c>
      <c r="B121" s="1500" t="s">
        <v>125</v>
      </c>
      <c r="C121" s="1501" t="s">
        <v>60</v>
      </c>
      <c r="D121" s="1498" t="s">
        <v>61</v>
      </c>
      <c r="E121" s="1527" t="s">
        <v>126</v>
      </c>
      <c r="F121" s="1501" t="s">
        <v>127</v>
      </c>
      <c r="G121" s="1500" t="s">
        <v>34</v>
      </c>
      <c r="H121" s="1519" t="s">
        <v>272</v>
      </c>
      <c r="I121" s="1515">
        <v>45139</v>
      </c>
      <c r="J121" s="1516" t="s">
        <v>125</v>
      </c>
      <c r="K121" s="1516" t="s">
        <v>125</v>
      </c>
      <c r="L121" s="653">
        <v>75000</v>
      </c>
      <c r="M121" s="653">
        <f>IF(ISNUMBER(L121),SUM(L121*20%)+L121,"")</f>
        <v>90000</v>
      </c>
      <c r="N121" s="1502" t="s">
        <v>163</v>
      </c>
      <c r="O121" s="1502" t="s">
        <v>36</v>
      </c>
      <c r="P121" s="1502" t="s">
        <v>125</v>
      </c>
    </row>
    <row r="122" spans="1:16" ht="27" customHeight="1">
      <c r="A122" s="1500" t="s">
        <v>48</v>
      </c>
      <c r="B122" s="1500" t="s">
        <v>125</v>
      </c>
      <c r="C122" s="1501" t="s">
        <v>60</v>
      </c>
      <c r="D122" s="1498" t="s">
        <v>61</v>
      </c>
      <c r="E122" s="1527" t="s">
        <v>126</v>
      </c>
      <c r="F122" s="1501" t="s">
        <v>127</v>
      </c>
      <c r="G122" s="1500" t="s">
        <v>34</v>
      </c>
      <c r="H122" s="1519" t="s">
        <v>273</v>
      </c>
      <c r="I122" s="1515" t="s">
        <v>125</v>
      </c>
      <c r="J122" s="1516">
        <v>1</v>
      </c>
      <c r="K122" s="1516">
        <v>1</v>
      </c>
      <c r="L122" s="653">
        <v>75000</v>
      </c>
      <c r="M122" s="653">
        <f>IF(ISNUMBER(L122),SUM(L122*20%)+L122,"")</f>
        <v>90000</v>
      </c>
      <c r="N122" s="1502" t="s">
        <v>129</v>
      </c>
      <c r="O122" s="1502" t="s">
        <v>36</v>
      </c>
      <c r="P122" s="1502" t="s">
        <v>125</v>
      </c>
    </row>
    <row r="123" spans="1:16" ht="27" customHeight="1">
      <c r="A123" s="1500" t="s">
        <v>48</v>
      </c>
      <c r="B123" s="1500" t="s">
        <v>35</v>
      </c>
      <c r="C123" s="1500" t="s">
        <v>60</v>
      </c>
      <c r="D123" s="1501" t="s">
        <v>61</v>
      </c>
      <c r="E123" s="1527" t="s">
        <v>32</v>
      </c>
      <c r="F123" s="1501" t="s">
        <v>127</v>
      </c>
      <c r="G123" s="1500" t="s">
        <v>34</v>
      </c>
      <c r="H123" s="1522" t="s">
        <v>274</v>
      </c>
      <c r="I123" s="1515">
        <v>45170</v>
      </c>
      <c r="J123" s="1516">
        <v>1</v>
      </c>
      <c r="K123" s="1516">
        <v>1</v>
      </c>
      <c r="L123" s="653">
        <v>75000</v>
      </c>
      <c r="M123" s="653">
        <f>IF(ISNUMBER(L123),SUM(L123*20%)+L123,"")</f>
        <v>90000</v>
      </c>
      <c r="N123" s="1502" t="s">
        <v>129</v>
      </c>
      <c r="O123" s="1502" t="s">
        <v>100</v>
      </c>
      <c r="P123" s="1502" t="s">
        <v>100</v>
      </c>
    </row>
    <row r="124" spans="1:16" ht="27" customHeight="1">
      <c r="A124" s="1500" t="s">
        <v>48</v>
      </c>
      <c r="B124" s="1500" t="s">
        <v>125</v>
      </c>
      <c r="C124" s="1501" t="s">
        <v>60</v>
      </c>
      <c r="D124" s="1498" t="s">
        <v>61</v>
      </c>
      <c r="E124" s="1527" t="s">
        <v>126</v>
      </c>
      <c r="F124" s="1501" t="s">
        <v>127</v>
      </c>
      <c r="G124" s="1500" t="s">
        <v>34</v>
      </c>
      <c r="H124" s="1520" t="s">
        <v>279</v>
      </c>
      <c r="I124" s="1515" t="s">
        <v>125</v>
      </c>
      <c r="J124" s="1516" t="s">
        <v>125</v>
      </c>
      <c r="K124" s="1516" t="s">
        <v>125</v>
      </c>
      <c r="L124" s="653">
        <v>75000</v>
      </c>
      <c r="M124" s="653">
        <f>IF(ISNUMBER(L124),SUM(L124*20%)+L124,"")</f>
        <v>90000</v>
      </c>
      <c r="N124" s="1502" t="s">
        <v>163</v>
      </c>
      <c r="O124" s="1502" t="s">
        <v>36</v>
      </c>
      <c r="P124" s="1502" t="s">
        <v>125</v>
      </c>
    </row>
    <row r="125" spans="1:16" ht="27" customHeight="1">
      <c r="A125" s="1500" t="s">
        <v>48</v>
      </c>
      <c r="B125" s="1500" t="s">
        <v>125</v>
      </c>
      <c r="C125" s="1501" t="s">
        <v>29</v>
      </c>
      <c r="D125" s="1501" t="s">
        <v>31</v>
      </c>
      <c r="E125" s="1527" t="s">
        <v>32</v>
      </c>
      <c r="F125" s="1501" t="s">
        <v>49</v>
      </c>
      <c r="G125" s="1500" t="s">
        <v>34</v>
      </c>
      <c r="H125" s="1519" t="s">
        <v>283</v>
      </c>
      <c r="I125" s="1515" t="s">
        <v>125</v>
      </c>
      <c r="J125" s="1516">
        <v>3</v>
      </c>
      <c r="K125" s="1516" t="s">
        <v>125</v>
      </c>
      <c r="L125" s="653">
        <v>76000</v>
      </c>
      <c r="M125" s="653">
        <f>IF(ISNUMBER(L125),SUM(L125*20%)+L125,"")</f>
        <v>91200</v>
      </c>
      <c r="N125" s="1502" t="s">
        <v>163</v>
      </c>
      <c r="O125" s="1502" t="s">
        <v>125</v>
      </c>
      <c r="P125" s="1502" t="s">
        <v>125</v>
      </c>
    </row>
    <row r="126" spans="1:16" ht="27" customHeight="1">
      <c r="A126" s="1500" t="s">
        <v>48</v>
      </c>
      <c r="B126" s="1500" t="s">
        <v>125</v>
      </c>
      <c r="C126" s="1501" t="s">
        <v>60</v>
      </c>
      <c r="D126" s="1498" t="s">
        <v>61</v>
      </c>
      <c r="E126" s="1527" t="s">
        <v>126</v>
      </c>
      <c r="F126" s="1501" t="s">
        <v>127</v>
      </c>
      <c r="G126" s="1500" t="s">
        <v>34</v>
      </c>
      <c r="H126" s="1519" t="s">
        <v>290</v>
      </c>
      <c r="I126" s="1515">
        <v>45139</v>
      </c>
      <c r="J126" s="1516">
        <v>1</v>
      </c>
      <c r="K126" s="1516">
        <v>1</v>
      </c>
      <c r="L126" s="653">
        <v>80000</v>
      </c>
      <c r="M126" s="653">
        <f>IF(ISNUMBER(L126),SUM(L126*20%)+L126,"")</f>
        <v>96000</v>
      </c>
      <c r="N126" s="1502" t="s">
        <v>129</v>
      </c>
      <c r="O126" s="1502" t="s">
        <v>36</v>
      </c>
      <c r="P126" s="1502" t="s">
        <v>125</v>
      </c>
    </row>
    <row r="127" spans="1:16" ht="27" customHeight="1">
      <c r="A127" s="1500" t="s">
        <v>48</v>
      </c>
      <c r="B127" s="1500" t="s">
        <v>125</v>
      </c>
      <c r="C127" s="1501" t="s">
        <v>60</v>
      </c>
      <c r="D127" s="1498" t="s">
        <v>61</v>
      </c>
      <c r="E127" s="1527" t="s">
        <v>126</v>
      </c>
      <c r="F127" s="1501" t="s">
        <v>127</v>
      </c>
      <c r="G127" s="1500" t="s">
        <v>34</v>
      </c>
      <c r="H127" s="1519" t="s">
        <v>291</v>
      </c>
      <c r="I127" s="1515">
        <v>45200</v>
      </c>
      <c r="J127" s="1516" t="s">
        <v>125</v>
      </c>
      <c r="K127" s="1516" t="s">
        <v>125</v>
      </c>
      <c r="L127" s="653">
        <v>80000</v>
      </c>
      <c r="M127" s="653">
        <f>IF(ISNUMBER(L127),SUM(L127*20%)+L127,"")</f>
        <v>96000</v>
      </c>
      <c r="N127" s="1502" t="s">
        <v>163</v>
      </c>
      <c r="O127" s="1502" t="s">
        <v>36</v>
      </c>
      <c r="P127" s="1502" t="s">
        <v>125</v>
      </c>
    </row>
    <row r="128" spans="1:16" ht="27" customHeight="1">
      <c r="A128" s="1501" t="s">
        <v>48</v>
      </c>
      <c r="B128" s="1501" t="s">
        <v>35</v>
      </c>
      <c r="C128" s="1498" t="s">
        <v>60</v>
      </c>
      <c r="D128" s="1498" t="s">
        <v>61</v>
      </c>
      <c r="E128" s="1527" t="s">
        <v>126</v>
      </c>
      <c r="F128" s="1498" t="s">
        <v>49</v>
      </c>
      <c r="G128" s="1498" t="s">
        <v>34</v>
      </c>
      <c r="H128" s="1523" t="s">
        <v>292</v>
      </c>
      <c r="I128" s="1513">
        <v>45444</v>
      </c>
      <c r="J128" s="1526" t="s">
        <v>188</v>
      </c>
      <c r="K128" s="1526" t="s">
        <v>188</v>
      </c>
      <c r="L128" s="653">
        <v>80000</v>
      </c>
      <c r="M128" s="653">
        <f>IF(ISNUMBER(L128),SUM(L128*20%)+L128,"")</f>
        <v>96000</v>
      </c>
      <c r="N128" s="1498" t="s">
        <v>163</v>
      </c>
      <c r="O128" s="1498" t="s">
        <v>35</v>
      </c>
      <c r="P128" s="1498" t="s">
        <v>35</v>
      </c>
    </row>
    <row r="129" spans="1:16" ht="27" customHeight="1">
      <c r="A129" s="1501" t="s">
        <v>48</v>
      </c>
      <c r="B129" s="1501" t="s">
        <v>35</v>
      </c>
      <c r="C129" s="1498" t="s">
        <v>60</v>
      </c>
      <c r="D129" s="1498" t="s">
        <v>61</v>
      </c>
      <c r="E129" s="1527" t="s">
        <v>126</v>
      </c>
      <c r="F129" s="1498" t="s">
        <v>49</v>
      </c>
      <c r="G129" s="1498" t="s">
        <v>34</v>
      </c>
      <c r="H129" s="1523" t="s">
        <v>299</v>
      </c>
      <c r="I129" s="1513">
        <v>45413</v>
      </c>
      <c r="J129" s="1526" t="s">
        <v>188</v>
      </c>
      <c r="K129" s="1526" t="s">
        <v>188</v>
      </c>
      <c r="L129" s="653">
        <v>85000</v>
      </c>
      <c r="M129" s="653">
        <f>IF(ISNUMBER(L129),SUM(L129*20%)+L129,"")</f>
        <v>102000</v>
      </c>
      <c r="N129" s="1498" t="s">
        <v>163</v>
      </c>
      <c r="O129" s="1498" t="s">
        <v>35</v>
      </c>
      <c r="P129" s="1498" t="s">
        <v>35</v>
      </c>
    </row>
    <row r="130" spans="1:16" ht="27" customHeight="1">
      <c r="A130" s="1500" t="s">
        <v>48</v>
      </c>
      <c r="B130" s="1500" t="s">
        <v>35</v>
      </c>
      <c r="C130" s="1500" t="s">
        <v>60</v>
      </c>
      <c r="D130" s="1498" t="s">
        <v>31</v>
      </c>
      <c r="E130" s="1499" t="s">
        <v>32</v>
      </c>
      <c r="F130" s="1501" t="s">
        <v>127</v>
      </c>
      <c r="G130" s="1500" t="s">
        <v>34</v>
      </c>
      <c r="H130" s="1522" t="s">
        <v>303</v>
      </c>
      <c r="I130" s="1515">
        <v>45108</v>
      </c>
      <c r="J130" s="1516">
        <v>1</v>
      </c>
      <c r="K130" s="1516">
        <v>1</v>
      </c>
      <c r="L130" s="653">
        <v>89294</v>
      </c>
      <c r="M130" s="653">
        <f>IF(ISNUMBER(L130),SUM(L130*20%)+L130,"")</f>
        <v>107152.8</v>
      </c>
      <c r="N130" s="1502" t="s">
        <v>129</v>
      </c>
      <c r="O130" s="1502" t="s">
        <v>100</v>
      </c>
      <c r="P130" s="1502" t="s">
        <v>100</v>
      </c>
    </row>
    <row r="131" spans="1:16" ht="27" customHeight="1">
      <c r="A131" s="1500" t="s">
        <v>48</v>
      </c>
      <c r="B131" s="1500">
        <v>62082</v>
      </c>
      <c r="C131" s="1501" t="s">
        <v>60</v>
      </c>
      <c r="D131" s="1498" t="s">
        <v>61</v>
      </c>
      <c r="E131" s="1527" t="s">
        <v>126</v>
      </c>
      <c r="F131" s="1501" t="s">
        <v>127</v>
      </c>
      <c r="G131" s="1498" t="s">
        <v>34</v>
      </c>
      <c r="H131" s="1499" t="s">
        <v>324</v>
      </c>
      <c r="I131" s="1502">
        <v>44958</v>
      </c>
      <c r="J131" s="1498">
        <v>1</v>
      </c>
      <c r="K131" s="1498">
        <v>1</v>
      </c>
      <c r="L131" s="653">
        <v>100000</v>
      </c>
      <c r="M131" s="653">
        <f>IF(ISNUMBER(L131),SUM(L131*20%)+L131,"")</f>
        <v>120000</v>
      </c>
      <c r="N131" s="1502" t="s">
        <v>109</v>
      </c>
      <c r="O131" s="1502" t="s">
        <v>36</v>
      </c>
      <c r="P131" s="1502" t="s">
        <v>125</v>
      </c>
    </row>
    <row r="132" spans="1:16" ht="27" customHeight="1">
      <c r="A132" s="1501" t="s">
        <v>48</v>
      </c>
      <c r="B132" s="1501" t="s">
        <v>35</v>
      </c>
      <c r="C132" s="1534" t="s">
        <v>214</v>
      </c>
      <c r="D132" s="1498" t="s">
        <v>31</v>
      </c>
      <c r="E132" s="1499" t="s">
        <v>32</v>
      </c>
      <c r="F132" s="1501" t="s">
        <v>127</v>
      </c>
      <c r="G132" s="1498" t="s">
        <v>34</v>
      </c>
      <c r="H132" s="1499" t="s">
        <v>325</v>
      </c>
      <c r="I132" s="1513" t="s">
        <v>125</v>
      </c>
      <c r="J132" s="1501">
        <v>3</v>
      </c>
      <c r="K132" s="1501">
        <v>3</v>
      </c>
      <c r="L132" s="653">
        <v>100000</v>
      </c>
      <c r="M132" s="653">
        <f>IF(ISNUMBER(L132),SUM(L132*20%)+L132,"")</f>
        <v>120000</v>
      </c>
      <c r="N132" s="1514" t="s">
        <v>326</v>
      </c>
      <c r="O132" s="1498" t="s">
        <v>100</v>
      </c>
      <c r="P132" s="1498" t="s">
        <v>43</v>
      </c>
    </row>
    <row r="133" spans="1:16" ht="27" customHeight="1">
      <c r="A133" s="1500" t="s">
        <v>48</v>
      </c>
      <c r="B133" s="1500" t="s">
        <v>125</v>
      </c>
      <c r="C133" s="1500" t="s">
        <v>60</v>
      </c>
      <c r="D133" s="1501" t="s">
        <v>61</v>
      </c>
      <c r="E133" s="1527" t="s">
        <v>32</v>
      </c>
      <c r="F133" s="1501" t="s">
        <v>127</v>
      </c>
      <c r="G133" s="1500" t="s">
        <v>34</v>
      </c>
      <c r="H133" s="1519" t="s">
        <v>329</v>
      </c>
      <c r="I133" s="1515">
        <v>45170</v>
      </c>
      <c r="J133" s="1516">
        <v>1</v>
      </c>
      <c r="K133" s="1516">
        <v>1</v>
      </c>
      <c r="L133" s="653">
        <v>100000</v>
      </c>
      <c r="M133" s="653">
        <f>IF(ISNUMBER(L133),SUM(L133*20%)+L133,"")</f>
        <v>120000</v>
      </c>
      <c r="N133" s="1502" t="s">
        <v>163</v>
      </c>
      <c r="O133" s="1502" t="s">
        <v>36</v>
      </c>
      <c r="P133" s="1502" t="s">
        <v>100</v>
      </c>
    </row>
    <row r="134" spans="1:16" ht="27" customHeight="1">
      <c r="A134" s="1500" t="s">
        <v>48</v>
      </c>
      <c r="B134" s="1500" t="s">
        <v>125</v>
      </c>
      <c r="C134" s="1501" t="s">
        <v>60</v>
      </c>
      <c r="D134" s="1498" t="s">
        <v>61</v>
      </c>
      <c r="E134" s="1527" t="s">
        <v>126</v>
      </c>
      <c r="F134" s="1501" t="s">
        <v>127</v>
      </c>
      <c r="G134" s="1500" t="s">
        <v>34</v>
      </c>
      <c r="H134" s="1519" t="s">
        <v>330</v>
      </c>
      <c r="I134" s="1515">
        <v>45170</v>
      </c>
      <c r="J134" s="1516">
        <v>1</v>
      </c>
      <c r="K134" s="1516">
        <v>1</v>
      </c>
      <c r="L134" s="653">
        <v>100000</v>
      </c>
      <c r="M134" s="653">
        <f>IF(ISNUMBER(L134),SUM(L134*20%)+L134,"")</f>
        <v>120000</v>
      </c>
      <c r="N134" s="1502" t="s">
        <v>163</v>
      </c>
      <c r="O134" s="1502" t="s">
        <v>36</v>
      </c>
      <c r="P134" s="1502" t="s">
        <v>125</v>
      </c>
    </row>
    <row r="135" spans="1:16" ht="27" customHeight="1">
      <c r="A135" s="1500" t="s">
        <v>48</v>
      </c>
      <c r="B135" s="1500" t="s">
        <v>35</v>
      </c>
      <c r="C135" s="1501" t="s">
        <v>60</v>
      </c>
      <c r="D135" s="1498" t="s">
        <v>61</v>
      </c>
      <c r="E135" s="1527" t="s">
        <v>126</v>
      </c>
      <c r="F135" s="1501" t="s">
        <v>127</v>
      </c>
      <c r="G135" s="1498" t="s">
        <v>34</v>
      </c>
      <c r="H135" s="1520" t="s">
        <v>344</v>
      </c>
      <c r="I135" s="1502" t="s">
        <v>125</v>
      </c>
      <c r="J135" s="1498">
        <v>1</v>
      </c>
      <c r="K135" s="1498">
        <v>1</v>
      </c>
      <c r="L135" s="653">
        <v>100000</v>
      </c>
      <c r="M135" s="653">
        <f>IF(ISNUMBER(L135),SUM(L135*20%)+L135,"")</f>
        <v>120000</v>
      </c>
      <c r="N135" s="1502" t="s">
        <v>129</v>
      </c>
      <c r="O135" s="1502" t="s">
        <v>144</v>
      </c>
      <c r="P135" s="1498" t="s">
        <v>35</v>
      </c>
    </row>
    <row r="136" spans="1:16" ht="27" customHeight="1">
      <c r="A136" s="1500" t="s">
        <v>48</v>
      </c>
      <c r="B136" s="1500" t="s">
        <v>125</v>
      </c>
      <c r="C136" s="1501" t="s">
        <v>60</v>
      </c>
      <c r="D136" s="1501" t="s">
        <v>61</v>
      </c>
      <c r="E136" s="1527" t="s">
        <v>126</v>
      </c>
      <c r="F136" s="1501" t="s">
        <v>127</v>
      </c>
      <c r="G136" s="1498" t="s">
        <v>34</v>
      </c>
      <c r="H136" s="1499" t="s">
        <v>346</v>
      </c>
      <c r="I136" s="1502" t="s">
        <v>125</v>
      </c>
      <c r="J136" s="1511">
        <v>48</v>
      </c>
      <c r="K136" s="1511" t="s">
        <v>298</v>
      </c>
      <c r="L136" s="653">
        <v>108000</v>
      </c>
      <c r="M136" s="653">
        <f>IF(ISNUMBER(L136),SUM(L136*20%)+L136,"")</f>
        <v>129600</v>
      </c>
      <c r="N136" s="1540" t="s">
        <v>173</v>
      </c>
      <c r="O136" s="1502" t="s">
        <v>36</v>
      </c>
      <c r="P136" s="1502" t="s">
        <v>125</v>
      </c>
    </row>
    <row r="137" spans="1:16" ht="27" customHeight="1">
      <c r="A137" s="1501" t="s">
        <v>48</v>
      </c>
      <c r="B137" s="1501" t="s">
        <v>35</v>
      </c>
      <c r="C137" s="1498" t="s">
        <v>223</v>
      </c>
      <c r="D137" s="1498" t="s">
        <v>31</v>
      </c>
      <c r="E137" s="1499" t="s">
        <v>32</v>
      </c>
      <c r="F137" s="1498" t="s">
        <v>49</v>
      </c>
      <c r="G137" s="1498" t="s">
        <v>34</v>
      </c>
      <c r="H137" s="1499" t="s">
        <v>391</v>
      </c>
      <c r="I137" s="1513">
        <v>45170</v>
      </c>
      <c r="J137" s="1526">
        <v>1</v>
      </c>
      <c r="K137" s="1526">
        <v>1</v>
      </c>
      <c r="L137" s="653">
        <v>135000</v>
      </c>
      <c r="M137" s="653">
        <f>IF(ISNUMBER(L137),SUM(L137*20%)+L137,"")</f>
        <v>162000</v>
      </c>
      <c r="N137" s="1498" t="s">
        <v>129</v>
      </c>
      <c r="O137" s="1498" t="s">
        <v>35</v>
      </c>
      <c r="P137" s="1498" t="s">
        <v>35</v>
      </c>
    </row>
    <row r="138" spans="1:16" ht="27" customHeight="1">
      <c r="A138" s="1501" t="s">
        <v>48</v>
      </c>
      <c r="B138" s="1501" t="s">
        <v>35</v>
      </c>
      <c r="C138" s="1498" t="s">
        <v>223</v>
      </c>
      <c r="D138" s="1498" t="s">
        <v>31</v>
      </c>
      <c r="E138" s="1499" t="s">
        <v>32</v>
      </c>
      <c r="F138" s="1498" t="s">
        <v>49</v>
      </c>
      <c r="G138" s="1498" t="s">
        <v>34</v>
      </c>
      <c r="H138" s="1499" t="s">
        <v>393</v>
      </c>
      <c r="I138" s="1513">
        <v>45170</v>
      </c>
      <c r="J138" s="1526">
        <v>1</v>
      </c>
      <c r="K138" s="1526">
        <v>1</v>
      </c>
      <c r="L138" s="653">
        <f>67500+67500</f>
        <v>135000</v>
      </c>
      <c r="M138" s="653">
        <f>IF(ISNUMBER(L138),SUM(L138*20%)+L138,"")</f>
        <v>162000</v>
      </c>
      <c r="N138" s="1498" t="s">
        <v>129</v>
      </c>
      <c r="O138" s="1498" t="s">
        <v>35</v>
      </c>
      <c r="P138" s="1498" t="s">
        <v>35</v>
      </c>
    </row>
    <row r="139" spans="1:16" ht="27" customHeight="1">
      <c r="A139" s="1501" t="s">
        <v>48</v>
      </c>
      <c r="B139" s="1501" t="s">
        <v>35</v>
      </c>
      <c r="C139" s="1498" t="s">
        <v>223</v>
      </c>
      <c r="D139" s="1498" t="s">
        <v>31</v>
      </c>
      <c r="E139" s="1499" t="s">
        <v>32</v>
      </c>
      <c r="F139" s="1498" t="s">
        <v>49</v>
      </c>
      <c r="G139" s="1498" t="s">
        <v>34</v>
      </c>
      <c r="H139" s="1499" t="s">
        <v>403</v>
      </c>
      <c r="I139" s="1513">
        <v>45139</v>
      </c>
      <c r="J139" s="1526">
        <v>1</v>
      </c>
      <c r="K139" s="1526" t="s">
        <v>125</v>
      </c>
      <c r="L139" s="653">
        <v>143000</v>
      </c>
      <c r="M139" s="653">
        <f>IF(ISNUMBER(L139),SUM(L139*20%)+L139,"")</f>
        <v>171600</v>
      </c>
      <c r="N139" s="1498" t="s">
        <v>129</v>
      </c>
      <c r="O139" s="1498" t="s">
        <v>35</v>
      </c>
      <c r="P139" s="1498" t="s">
        <v>35</v>
      </c>
    </row>
    <row r="140" spans="1:16" ht="27" customHeight="1">
      <c r="A140" s="1500" t="s">
        <v>48</v>
      </c>
      <c r="B140" s="1500" t="s">
        <v>125</v>
      </c>
      <c r="C140" s="1501" t="s">
        <v>29</v>
      </c>
      <c r="D140" s="1501" t="s">
        <v>31</v>
      </c>
      <c r="E140" s="1527" t="s">
        <v>32</v>
      </c>
      <c r="F140" s="1501" t="s">
        <v>49</v>
      </c>
      <c r="G140" s="1500" t="s">
        <v>34</v>
      </c>
      <c r="H140" s="1519" t="s">
        <v>405</v>
      </c>
      <c r="I140" s="1515">
        <v>45108</v>
      </c>
      <c r="J140" s="1516">
        <v>3</v>
      </c>
      <c r="K140" s="1516">
        <v>3</v>
      </c>
      <c r="L140" s="653">
        <v>150000</v>
      </c>
      <c r="M140" s="653">
        <f>IF(ISNUMBER(L140),SUM(L140*20%)+L140,"")</f>
        <v>180000</v>
      </c>
      <c r="N140" s="1502" t="s">
        <v>173</v>
      </c>
      <c r="O140" s="1502" t="s">
        <v>36</v>
      </c>
      <c r="P140" s="1502" t="s">
        <v>125</v>
      </c>
    </row>
    <row r="141" spans="1:16" ht="27" customHeight="1">
      <c r="A141" s="1501" t="s">
        <v>48</v>
      </c>
      <c r="B141" s="1501" t="s">
        <v>35</v>
      </c>
      <c r="C141" s="1498" t="s">
        <v>60</v>
      </c>
      <c r="D141" s="1498" t="s">
        <v>61</v>
      </c>
      <c r="E141" s="1527" t="s">
        <v>126</v>
      </c>
      <c r="F141" s="1498" t="s">
        <v>49</v>
      </c>
      <c r="G141" s="1498" t="s">
        <v>34</v>
      </c>
      <c r="H141" s="1523" t="s">
        <v>407</v>
      </c>
      <c r="I141" s="1513">
        <v>45231</v>
      </c>
      <c r="J141" s="1526" t="s">
        <v>188</v>
      </c>
      <c r="K141" s="1526" t="s">
        <v>188</v>
      </c>
      <c r="L141" s="653">
        <v>150000</v>
      </c>
      <c r="M141" s="653">
        <f>IF(ISNUMBER(L141),SUM(L141*20%)+L141,"")</f>
        <v>180000</v>
      </c>
      <c r="N141" s="1498" t="s">
        <v>163</v>
      </c>
      <c r="O141" s="1498" t="s">
        <v>35</v>
      </c>
      <c r="P141" s="1498" t="s">
        <v>35</v>
      </c>
    </row>
    <row r="142" spans="1:16" ht="27" customHeight="1">
      <c r="A142" s="1500" t="s">
        <v>48</v>
      </c>
      <c r="B142" s="1500" t="s">
        <v>125</v>
      </c>
      <c r="C142" s="1501" t="s">
        <v>60</v>
      </c>
      <c r="D142" s="1498" t="s">
        <v>61</v>
      </c>
      <c r="E142" s="1527" t="s">
        <v>126</v>
      </c>
      <c r="F142" s="1501" t="s">
        <v>127</v>
      </c>
      <c r="G142" s="1498" t="s">
        <v>34</v>
      </c>
      <c r="H142" s="1520" t="s">
        <v>409</v>
      </c>
      <c r="I142" s="1502" t="s">
        <v>125</v>
      </c>
      <c r="J142" s="1511">
        <v>1</v>
      </c>
      <c r="K142" s="1326">
        <v>1</v>
      </c>
      <c r="L142" s="653">
        <v>150000</v>
      </c>
      <c r="M142" s="653">
        <f>IF(ISNUMBER(L142),SUM(L142*20%)+L142,"")</f>
        <v>180000</v>
      </c>
      <c r="N142" s="1502" t="s">
        <v>163</v>
      </c>
      <c r="O142" s="1502" t="s">
        <v>36</v>
      </c>
      <c r="P142" s="1501" t="s">
        <v>125</v>
      </c>
    </row>
    <row r="143" spans="1:16" ht="27" customHeight="1">
      <c r="A143" s="1500" t="s">
        <v>48</v>
      </c>
      <c r="B143" s="1560"/>
      <c r="C143" s="1560"/>
      <c r="D143" s="1501" t="s">
        <v>61</v>
      </c>
      <c r="E143" s="1508" t="s">
        <v>335</v>
      </c>
      <c r="F143" s="1501" t="s">
        <v>127</v>
      </c>
      <c r="G143" s="1500" t="s">
        <v>34</v>
      </c>
      <c r="H143" s="1519" t="s">
        <v>422</v>
      </c>
      <c r="I143" s="1515">
        <v>45170</v>
      </c>
      <c r="J143" s="1516">
        <v>1</v>
      </c>
      <c r="K143" s="1516">
        <v>1</v>
      </c>
      <c r="L143" s="653">
        <v>160000</v>
      </c>
      <c r="M143" s="653">
        <f>IF(ISNUMBER(L143),SUM(L143*20%)+L143,"")</f>
        <v>192000</v>
      </c>
      <c r="N143" s="1502" t="s">
        <v>163</v>
      </c>
      <c r="O143" s="1502" t="s">
        <v>100</v>
      </c>
      <c r="P143" s="1502" t="s">
        <v>100</v>
      </c>
    </row>
    <row r="144" spans="1:16" ht="27" customHeight="1">
      <c r="A144" s="1500" t="s">
        <v>48</v>
      </c>
      <c r="B144" s="1500" t="s">
        <v>125</v>
      </c>
      <c r="C144" s="1501" t="s">
        <v>29</v>
      </c>
      <c r="D144" s="1501" t="s">
        <v>31</v>
      </c>
      <c r="E144" s="1527" t="s">
        <v>32</v>
      </c>
      <c r="F144" s="1501" t="s">
        <v>49</v>
      </c>
      <c r="G144" s="1500" t="s">
        <v>34</v>
      </c>
      <c r="H144" s="1520" t="s">
        <v>437</v>
      </c>
      <c r="I144" s="1515" t="s">
        <v>125</v>
      </c>
      <c r="J144" s="1516">
        <v>3</v>
      </c>
      <c r="K144" s="1516">
        <v>3</v>
      </c>
      <c r="L144" s="653">
        <v>174000</v>
      </c>
      <c r="M144" s="653">
        <f>IF(ISNUMBER(L144),SUM(L144*20%)+L144,"")</f>
        <v>208800</v>
      </c>
      <c r="N144" s="1502" t="s">
        <v>163</v>
      </c>
      <c r="O144" s="1502" t="s">
        <v>36</v>
      </c>
      <c r="P144" s="1502" t="s">
        <v>125</v>
      </c>
    </row>
    <row r="145" spans="1:16" ht="27" customHeight="1">
      <c r="A145" s="1497" t="s">
        <v>48</v>
      </c>
      <c r="B145" s="1497">
        <v>68201</v>
      </c>
      <c r="C145" s="1498" t="s">
        <v>60</v>
      </c>
      <c r="D145" s="1498" t="s">
        <v>61</v>
      </c>
      <c r="E145" s="1499" t="s">
        <v>62</v>
      </c>
      <c r="F145" s="1501" t="s">
        <v>127</v>
      </c>
      <c r="G145" s="1498" t="s">
        <v>34</v>
      </c>
      <c r="H145" s="1499" t="s">
        <v>443</v>
      </c>
      <c r="I145" s="1502" t="s">
        <v>125</v>
      </c>
      <c r="J145" s="1498">
        <v>24</v>
      </c>
      <c r="K145" s="1512" t="s">
        <v>365</v>
      </c>
      <c r="L145" s="653">
        <v>180000</v>
      </c>
      <c r="M145" s="653">
        <f>IF(ISNUMBER(L145),SUM(L145*20%)+L145,"")</f>
        <v>216000</v>
      </c>
      <c r="N145" s="1517" t="s">
        <v>163</v>
      </c>
      <c r="O145" s="1517" t="s">
        <v>36</v>
      </c>
      <c r="P145" s="1498" t="s">
        <v>43</v>
      </c>
    </row>
    <row r="146" spans="1:16" ht="27" customHeight="1">
      <c r="A146" s="1500" t="s">
        <v>48</v>
      </c>
      <c r="B146" s="1500" t="s">
        <v>35</v>
      </c>
      <c r="C146" s="1501" t="s">
        <v>60</v>
      </c>
      <c r="D146" s="1498" t="s">
        <v>61</v>
      </c>
      <c r="E146" s="1527" t="s">
        <v>126</v>
      </c>
      <c r="F146" s="1501" t="s">
        <v>127</v>
      </c>
      <c r="G146" s="1498" t="s">
        <v>34</v>
      </c>
      <c r="H146" s="1499" t="s">
        <v>445</v>
      </c>
      <c r="I146" s="1502">
        <v>45040</v>
      </c>
      <c r="J146" s="1498">
        <v>1</v>
      </c>
      <c r="K146" s="1498">
        <v>1</v>
      </c>
      <c r="L146" s="653">
        <v>180000</v>
      </c>
      <c r="M146" s="653">
        <f>IF(ISNUMBER(L146),SUM(L146*20%)+L146,"")</f>
        <v>216000</v>
      </c>
      <c r="N146" s="1502" t="s">
        <v>129</v>
      </c>
      <c r="O146" s="1502" t="s">
        <v>144</v>
      </c>
      <c r="P146" s="1498" t="s">
        <v>446</v>
      </c>
    </row>
    <row r="147" spans="1:16" ht="27" customHeight="1">
      <c r="A147" s="1500" t="s">
        <v>48</v>
      </c>
      <c r="B147" s="1500">
        <v>64540</v>
      </c>
      <c r="C147" s="1501" t="s">
        <v>60</v>
      </c>
      <c r="D147" s="1498" t="s">
        <v>61</v>
      </c>
      <c r="E147" s="1527" t="s">
        <v>126</v>
      </c>
      <c r="F147" s="1501" t="s">
        <v>127</v>
      </c>
      <c r="G147" s="1498" t="s">
        <v>34</v>
      </c>
      <c r="H147" s="1499" t="s">
        <v>454</v>
      </c>
      <c r="I147" s="1502">
        <v>45017</v>
      </c>
      <c r="J147" s="1498">
        <v>1</v>
      </c>
      <c r="K147" s="1498">
        <v>1</v>
      </c>
      <c r="L147" s="653">
        <v>191773</v>
      </c>
      <c r="M147" s="653">
        <f>IF(ISNUMBER(L147),SUM(L147*20%)+L147,"")</f>
        <v>230127.6</v>
      </c>
      <c r="N147" s="1502" t="s">
        <v>129</v>
      </c>
      <c r="O147" s="1502" t="s">
        <v>144</v>
      </c>
      <c r="P147" s="1502" t="s">
        <v>125</v>
      </c>
    </row>
    <row r="148" spans="1:16" ht="27" customHeight="1">
      <c r="A148" s="1500" t="s">
        <v>48</v>
      </c>
      <c r="B148" s="1500" t="s">
        <v>125</v>
      </c>
      <c r="C148" s="1529" t="s">
        <v>214</v>
      </c>
      <c r="D148" s="1498" t="s">
        <v>31</v>
      </c>
      <c r="E148" s="1499" t="s">
        <v>32</v>
      </c>
      <c r="F148" s="1501" t="s">
        <v>49</v>
      </c>
      <c r="G148" s="1498" t="s">
        <v>34</v>
      </c>
      <c r="H148" s="1520" t="s">
        <v>464</v>
      </c>
      <c r="I148" s="1515" t="s">
        <v>125</v>
      </c>
      <c r="J148" s="1500">
        <v>12</v>
      </c>
      <c r="K148" s="1516">
        <v>12</v>
      </c>
      <c r="L148" s="653">
        <v>200000</v>
      </c>
      <c r="M148" s="653">
        <f>IF(ISNUMBER(L148),SUM(L148*20%)+L148,"")</f>
        <v>240000</v>
      </c>
      <c r="N148" s="690" t="s">
        <v>109</v>
      </c>
      <c r="O148" s="1498" t="s">
        <v>465</v>
      </c>
      <c r="P148" s="1502" t="s">
        <v>100</v>
      </c>
    </row>
    <row r="149" spans="1:16" ht="27" customHeight="1">
      <c r="A149" s="1500" t="s">
        <v>48</v>
      </c>
      <c r="B149" s="1500" t="s">
        <v>125</v>
      </c>
      <c r="C149" s="1501" t="s">
        <v>82</v>
      </c>
      <c r="D149" s="1501" t="s">
        <v>82</v>
      </c>
      <c r="E149" s="1527" t="s">
        <v>32</v>
      </c>
      <c r="F149" s="1501" t="s">
        <v>49</v>
      </c>
      <c r="G149" s="1500" t="s">
        <v>34</v>
      </c>
      <c r="H149" s="1519" t="s">
        <v>467</v>
      </c>
      <c r="I149" s="1515" t="s">
        <v>125</v>
      </c>
      <c r="J149" s="1515" t="s">
        <v>125</v>
      </c>
      <c r="K149" s="1515" t="s">
        <v>125</v>
      </c>
      <c r="L149" s="653">
        <v>210000</v>
      </c>
      <c r="M149" s="653">
        <f>IF(ISNUMBER(L149),SUM(L149*20%)+L149,"")</f>
        <v>252000</v>
      </c>
      <c r="N149" s="1502" t="s">
        <v>173</v>
      </c>
      <c r="O149" s="1502" t="s">
        <v>36</v>
      </c>
      <c r="P149" s="1502" t="s">
        <v>100</v>
      </c>
    </row>
    <row r="150" spans="1:16" ht="27" customHeight="1">
      <c r="A150" s="1500" t="s">
        <v>48</v>
      </c>
      <c r="B150" s="1500" t="s">
        <v>125</v>
      </c>
      <c r="C150" s="1501" t="s">
        <v>223</v>
      </c>
      <c r="D150" s="1498" t="s">
        <v>61</v>
      </c>
      <c r="E150" s="1527" t="s">
        <v>126</v>
      </c>
      <c r="F150" s="1501" t="s">
        <v>127</v>
      </c>
      <c r="G150" s="1500" t="s">
        <v>34</v>
      </c>
      <c r="H150" s="1520" t="s">
        <v>469</v>
      </c>
      <c r="I150" s="1515" t="s">
        <v>125</v>
      </c>
      <c r="J150" s="1516" t="s">
        <v>125</v>
      </c>
      <c r="K150" s="1516" t="s">
        <v>125</v>
      </c>
      <c r="L150" s="653">
        <v>217500</v>
      </c>
      <c r="M150" s="653">
        <f>IF(ISNUMBER(L150),SUM(L150*20%)+L150,"")</f>
        <v>261000</v>
      </c>
      <c r="N150" s="1502" t="s">
        <v>186</v>
      </c>
      <c r="O150" s="1502" t="s">
        <v>100</v>
      </c>
      <c r="P150" s="1502" t="s">
        <v>100</v>
      </c>
    </row>
    <row r="151" spans="1:16" ht="27" customHeight="1">
      <c r="A151" s="1501" t="s">
        <v>48</v>
      </c>
      <c r="B151" s="1501" t="s">
        <v>35</v>
      </c>
      <c r="C151" s="1498" t="s">
        <v>223</v>
      </c>
      <c r="D151" s="1498" t="s">
        <v>31</v>
      </c>
      <c r="E151" s="1499" t="s">
        <v>32</v>
      </c>
      <c r="F151" s="1498" t="s">
        <v>49</v>
      </c>
      <c r="G151" s="1498" t="s">
        <v>34</v>
      </c>
      <c r="H151" s="1499" t="s">
        <v>473</v>
      </c>
      <c r="I151" s="1513">
        <v>45139</v>
      </c>
      <c r="J151" s="1526" t="s">
        <v>125</v>
      </c>
      <c r="K151" s="1526" t="s">
        <v>125</v>
      </c>
      <c r="L151" s="653">
        <v>225000</v>
      </c>
      <c r="M151" s="653">
        <f>IF(ISNUMBER(L151),SUM(L151*20%)+L151,"")</f>
        <v>270000</v>
      </c>
      <c r="N151" s="1498" t="s">
        <v>129</v>
      </c>
      <c r="O151" s="1498" t="s">
        <v>35</v>
      </c>
      <c r="P151" s="1498" t="s">
        <v>35</v>
      </c>
    </row>
    <row r="152" spans="1:16" ht="27" customHeight="1">
      <c r="A152" s="1501" t="s">
        <v>48</v>
      </c>
      <c r="B152" s="1501" t="s">
        <v>35</v>
      </c>
      <c r="C152" s="1498" t="s">
        <v>223</v>
      </c>
      <c r="D152" s="1498" t="s">
        <v>31</v>
      </c>
      <c r="E152" s="1499" t="s">
        <v>32</v>
      </c>
      <c r="F152" s="1498" t="s">
        <v>49</v>
      </c>
      <c r="G152" s="1498" t="s">
        <v>34</v>
      </c>
      <c r="H152" s="1499" t="s">
        <v>481</v>
      </c>
      <c r="I152" s="1513">
        <v>45200</v>
      </c>
      <c r="J152" s="1526">
        <v>1</v>
      </c>
      <c r="K152" s="1526">
        <v>1</v>
      </c>
      <c r="L152" s="653">
        <v>232000</v>
      </c>
      <c r="M152" s="653">
        <f>IF(ISNUMBER(L152),SUM(L152*20%)+L152,"")</f>
        <v>278400</v>
      </c>
      <c r="N152" s="1498" t="s">
        <v>129</v>
      </c>
      <c r="O152" s="1498" t="s">
        <v>35</v>
      </c>
      <c r="P152" s="1498" t="s">
        <v>35</v>
      </c>
    </row>
    <row r="153" spans="1:16" ht="27" customHeight="1">
      <c r="A153" s="1501" t="s">
        <v>48</v>
      </c>
      <c r="B153" s="1501" t="s">
        <v>35</v>
      </c>
      <c r="C153" s="1498" t="s">
        <v>223</v>
      </c>
      <c r="D153" s="1498" t="s">
        <v>31</v>
      </c>
      <c r="E153" s="1499" t="s">
        <v>32</v>
      </c>
      <c r="F153" s="1498" t="s">
        <v>49</v>
      </c>
      <c r="G153" s="1498" t="s">
        <v>34</v>
      </c>
      <c r="H153" s="1520" t="s">
        <v>482</v>
      </c>
      <c r="I153" s="1513" t="s">
        <v>125</v>
      </c>
      <c r="J153" s="1526" t="s">
        <v>125</v>
      </c>
      <c r="K153" s="1526" t="s">
        <v>125</v>
      </c>
      <c r="L153" s="653">
        <v>233333</v>
      </c>
      <c r="M153" s="653">
        <f>IF(ISNUMBER(L153),SUM(L153*20%)+L153,"")</f>
        <v>279999.59999999998</v>
      </c>
      <c r="N153" s="1498" t="s">
        <v>129</v>
      </c>
      <c r="O153" s="1498" t="s">
        <v>35</v>
      </c>
      <c r="P153" s="1498" t="s">
        <v>35</v>
      </c>
    </row>
    <row r="154" spans="1:16" ht="27" customHeight="1">
      <c r="A154" s="1500" t="s">
        <v>48</v>
      </c>
      <c r="B154" s="1501" t="s">
        <v>125</v>
      </c>
      <c r="C154" s="1501" t="s">
        <v>60</v>
      </c>
      <c r="D154" s="1498" t="s">
        <v>61</v>
      </c>
      <c r="E154" s="1527" t="s">
        <v>170</v>
      </c>
      <c r="F154" s="1501" t="s">
        <v>483</v>
      </c>
      <c r="G154" s="1498" t="s">
        <v>34</v>
      </c>
      <c r="H154" s="1527" t="s">
        <v>484</v>
      </c>
      <c r="I154" s="1502">
        <v>45170</v>
      </c>
      <c r="J154" s="1511">
        <v>48</v>
      </c>
      <c r="K154" s="1541" t="s">
        <v>191</v>
      </c>
      <c r="L154" s="653">
        <v>240000</v>
      </c>
      <c r="M154" s="653">
        <f>IF(ISNUMBER(L154),SUM(L154*20%)+L154,"")</f>
        <v>288000</v>
      </c>
      <c r="N154" s="1502" t="s">
        <v>163</v>
      </c>
      <c r="O154" s="1502" t="s">
        <v>36</v>
      </c>
      <c r="P154" s="1501" t="s">
        <v>35</v>
      </c>
    </row>
    <row r="155" spans="1:16" ht="27" customHeight="1">
      <c r="A155" s="1500" t="s">
        <v>48</v>
      </c>
      <c r="B155" s="1500" t="s">
        <v>125</v>
      </c>
      <c r="C155" s="1529" t="s">
        <v>214</v>
      </c>
      <c r="D155" s="1498" t="s">
        <v>31</v>
      </c>
      <c r="E155" s="1499" t="s">
        <v>32</v>
      </c>
      <c r="F155" s="1501" t="s">
        <v>49</v>
      </c>
      <c r="G155" s="1500" t="s">
        <v>34</v>
      </c>
      <c r="H155" s="1522" t="s">
        <v>215</v>
      </c>
      <c r="I155" s="1515">
        <v>45047</v>
      </c>
      <c r="J155" s="1516">
        <v>48</v>
      </c>
      <c r="K155" s="1516" t="s">
        <v>191</v>
      </c>
      <c r="L155" s="653">
        <v>240000</v>
      </c>
      <c r="M155" s="653">
        <f>IF(ISNUMBER(L155),SUM(L155*20%)+L155,"")</f>
        <v>288000</v>
      </c>
      <c r="N155" s="1502" t="s">
        <v>98</v>
      </c>
      <c r="O155" s="1502" t="s">
        <v>100</v>
      </c>
      <c r="P155" s="1502" t="s">
        <v>100</v>
      </c>
    </row>
    <row r="156" spans="1:16" ht="27" customHeight="1">
      <c r="A156" s="1500" t="s">
        <v>48</v>
      </c>
      <c r="B156" s="1500" t="s">
        <v>125</v>
      </c>
      <c r="C156" s="1529" t="s">
        <v>214</v>
      </c>
      <c r="D156" s="1498" t="s">
        <v>31</v>
      </c>
      <c r="E156" s="1499" t="s">
        <v>32</v>
      </c>
      <c r="F156" s="1501" t="s">
        <v>49</v>
      </c>
      <c r="G156" s="1500" t="s">
        <v>34</v>
      </c>
      <c r="H156" s="1522" t="s">
        <v>221</v>
      </c>
      <c r="I156" s="1515">
        <v>45413</v>
      </c>
      <c r="J156" s="1516">
        <v>48</v>
      </c>
      <c r="K156" s="1516" t="s">
        <v>191</v>
      </c>
      <c r="L156" s="653">
        <v>240000</v>
      </c>
      <c r="M156" s="653">
        <f>IF(ISNUMBER(L156),SUM(L156*20%)+L156,"")</f>
        <v>288000</v>
      </c>
      <c r="N156" s="1502" t="s">
        <v>98</v>
      </c>
      <c r="O156" s="1502" t="s">
        <v>100</v>
      </c>
      <c r="P156" s="1502" t="s">
        <v>100</v>
      </c>
    </row>
    <row r="157" spans="1:16" ht="27" customHeight="1">
      <c r="A157" s="1500" t="s">
        <v>48</v>
      </c>
      <c r="B157" s="1500" t="s">
        <v>125</v>
      </c>
      <c r="C157" s="1501" t="s">
        <v>82</v>
      </c>
      <c r="D157" s="1501" t="s">
        <v>82</v>
      </c>
      <c r="E157" s="1527" t="s">
        <v>32</v>
      </c>
      <c r="F157" s="1501" t="s">
        <v>49</v>
      </c>
      <c r="G157" s="1500" t="s">
        <v>34</v>
      </c>
      <c r="H157" s="1520" t="s">
        <v>489</v>
      </c>
      <c r="I157" s="1515" t="s">
        <v>35</v>
      </c>
      <c r="J157" s="1516">
        <v>3</v>
      </c>
      <c r="K157" s="1516">
        <v>3</v>
      </c>
      <c r="L157" s="653">
        <v>250000</v>
      </c>
      <c r="M157" s="653">
        <f>IF(ISNUMBER(L157),SUM(L157*20%)+L157,"")</f>
        <v>300000</v>
      </c>
      <c r="N157" s="1502" t="s">
        <v>173</v>
      </c>
      <c r="O157" s="1502" t="s">
        <v>36</v>
      </c>
      <c r="P157" s="1502" t="s">
        <v>125</v>
      </c>
    </row>
    <row r="158" spans="1:16" ht="27" customHeight="1">
      <c r="A158" s="1500" t="s">
        <v>48</v>
      </c>
      <c r="B158" s="1500" t="s">
        <v>491</v>
      </c>
      <c r="C158" s="1501" t="s">
        <v>82</v>
      </c>
      <c r="D158" s="1501" t="s">
        <v>82</v>
      </c>
      <c r="E158" s="1527" t="s">
        <v>32</v>
      </c>
      <c r="F158" s="1501" t="s">
        <v>49</v>
      </c>
      <c r="G158" s="1500" t="s">
        <v>34</v>
      </c>
      <c r="H158" s="1519" t="s">
        <v>492</v>
      </c>
      <c r="I158" s="1515">
        <v>45108</v>
      </c>
      <c r="J158" s="1516" t="s">
        <v>125</v>
      </c>
      <c r="K158" s="1516" t="s">
        <v>125</v>
      </c>
      <c r="L158" s="653">
        <v>265000</v>
      </c>
      <c r="M158" s="653">
        <f>IF(ISNUMBER(L158),SUM(L158*20%)+L158,"")</f>
        <v>318000</v>
      </c>
      <c r="N158" s="1502" t="s">
        <v>46</v>
      </c>
      <c r="O158" s="1502" t="s">
        <v>36</v>
      </c>
      <c r="P158" s="1502" t="s">
        <v>125</v>
      </c>
    </row>
    <row r="159" spans="1:16" ht="27" customHeight="1">
      <c r="A159" s="1500" t="s">
        <v>48</v>
      </c>
      <c r="B159" s="1500">
        <v>72831</v>
      </c>
      <c r="C159" s="1501" t="s">
        <v>82</v>
      </c>
      <c r="D159" s="1501" t="s">
        <v>82</v>
      </c>
      <c r="E159" s="1527" t="s">
        <v>32</v>
      </c>
      <c r="F159" s="1501" t="s">
        <v>49</v>
      </c>
      <c r="G159" s="1500" t="s">
        <v>34</v>
      </c>
      <c r="H159" s="1519" t="s">
        <v>494</v>
      </c>
      <c r="I159" s="1515" t="s">
        <v>125</v>
      </c>
      <c r="J159" s="1515" t="s">
        <v>125</v>
      </c>
      <c r="K159" s="1515" t="s">
        <v>125</v>
      </c>
      <c r="L159" s="653">
        <v>275000</v>
      </c>
      <c r="M159" s="653">
        <f>IF(ISNUMBER(L159),SUM(L159*20%)+L159,"")</f>
        <v>330000</v>
      </c>
      <c r="N159" s="1502" t="s">
        <v>173</v>
      </c>
      <c r="O159" s="1502" t="s">
        <v>36</v>
      </c>
      <c r="P159" s="1502" t="s">
        <v>100</v>
      </c>
    </row>
    <row r="160" spans="1:16" s="1561" customFormat="1" ht="27" customHeight="1">
      <c r="A160" s="1500" t="s">
        <v>48</v>
      </c>
      <c r="B160" s="1500" t="s">
        <v>35</v>
      </c>
      <c r="C160" s="1529" t="s">
        <v>214</v>
      </c>
      <c r="D160" s="1501" t="s">
        <v>61</v>
      </c>
      <c r="E160" s="1527" t="s">
        <v>32</v>
      </c>
      <c r="F160" s="1501" t="s">
        <v>127</v>
      </c>
      <c r="G160" s="1498" t="s">
        <v>34</v>
      </c>
      <c r="H160" s="1499" t="s">
        <v>495</v>
      </c>
      <c r="I160" s="1515">
        <v>45200</v>
      </c>
      <c r="J160" s="1500" t="s">
        <v>125</v>
      </c>
      <c r="K160" s="1516" t="s">
        <v>125</v>
      </c>
      <c r="L160" s="653">
        <f>70000*4</f>
        <v>280000</v>
      </c>
      <c r="M160" s="653">
        <f>IF(ISNUMBER(L160),SUM(L160*20%)+L160,"")</f>
        <v>336000</v>
      </c>
      <c r="N160" s="690" t="s">
        <v>46</v>
      </c>
      <c r="O160" s="1498" t="s">
        <v>54</v>
      </c>
      <c r="P160" s="1502" t="s">
        <v>43</v>
      </c>
    </row>
    <row r="161" spans="1:16" ht="27" customHeight="1">
      <c r="A161" s="1500" t="s">
        <v>48</v>
      </c>
      <c r="B161" s="1500" t="s">
        <v>125</v>
      </c>
      <c r="C161" s="1501" t="s">
        <v>60</v>
      </c>
      <c r="D161" s="1498" t="s">
        <v>61</v>
      </c>
      <c r="E161" s="1527" t="s">
        <v>126</v>
      </c>
      <c r="F161" s="1501" t="s">
        <v>127</v>
      </c>
      <c r="G161" s="1498" t="s">
        <v>64</v>
      </c>
      <c r="H161" s="1499" t="s">
        <v>496</v>
      </c>
      <c r="I161" s="1502">
        <v>45931</v>
      </c>
      <c r="J161" s="1511">
        <v>24</v>
      </c>
      <c r="K161" s="1511">
        <v>24</v>
      </c>
      <c r="L161" s="653">
        <v>280000</v>
      </c>
      <c r="M161" s="653">
        <f>IF(ISNUMBER(L161),SUM(L161*20%)+L161,"")</f>
        <v>336000</v>
      </c>
      <c r="N161" s="1502" t="s">
        <v>129</v>
      </c>
      <c r="O161" s="1502" t="s">
        <v>144</v>
      </c>
      <c r="P161" s="1502" t="s">
        <v>125</v>
      </c>
    </row>
    <row r="162" spans="1:16" s="1552" customFormat="1" ht="27" customHeight="1">
      <c r="A162" s="1500" t="s">
        <v>48</v>
      </c>
      <c r="B162" s="1500" t="s">
        <v>125</v>
      </c>
      <c r="C162" s="1501" t="s">
        <v>82</v>
      </c>
      <c r="D162" s="1501" t="s">
        <v>82</v>
      </c>
      <c r="E162" s="1527" t="s">
        <v>32</v>
      </c>
      <c r="F162" s="1501" t="s">
        <v>49</v>
      </c>
      <c r="G162" s="1500" t="s">
        <v>34</v>
      </c>
      <c r="H162" s="1519" t="s">
        <v>504</v>
      </c>
      <c r="I162" s="1515" t="s">
        <v>125</v>
      </c>
      <c r="J162" s="1516" t="s">
        <v>125</v>
      </c>
      <c r="K162" s="1516" t="s">
        <v>125</v>
      </c>
      <c r="L162" s="653">
        <f>300000+320000</f>
        <v>620000</v>
      </c>
      <c r="M162" s="653">
        <f>IF(ISNUMBER(L162),SUM(L162*20%)+L162,"")</f>
        <v>744000</v>
      </c>
      <c r="N162" s="1502" t="s">
        <v>46</v>
      </c>
      <c r="O162" s="1502" t="s">
        <v>144</v>
      </c>
      <c r="P162" s="1502" t="s">
        <v>125</v>
      </c>
    </row>
    <row r="163" spans="1:16" ht="27" customHeight="1">
      <c r="A163" s="1501" t="s">
        <v>48</v>
      </c>
      <c r="B163" s="1501" t="s">
        <v>35</v>
      </c>
      <c r="C163" s="1498" t="s">
        <v>60</v>
      </c>
      <c r="D163" s="1498" t="s">
        <v>61</v>
      </c>
      <c r="E163" s="1527" t="s">
        <v>126</v>
      </c>
      <c r="F163" s="1498" t="s">
        <v>49</v>
      </c>
      <c r="G163" s="1498" t="s">
        <v>34</v>
      </c>
      <c r="H163" s="1523" t="s">
        <v>505</v>
      </c>
      <c r="I163" s="1513">
        <v>45139</v>
      </c>
      <c r="J163" s="1526" t="s">
        <v>188</v>
      </c>
      <c r="K163" s="1526" t="s">
        <v>188</v>
      </c>
      <c r="L163" s="653">
        <v>300000</v>
      </c>
      <c r="M163" s="653">
        <f>IF(ISNUMBER(L163),SUM(L163*20%)+L163,"")</f>
        <v>360000</v>
      </c>
      <c r="N163" s="1498" t="s">
        <v>163</v>
      </c>
      <c r="O163" s="1498" t="s">
        <v>35</v>
      </c>
      <c r="P163" s="1498" t="s">
        <v>35</v>
      </c>
    </row>
    <row r="164" spans="1:16" ht="27" customHeight="1">
      <c r="A164" s="1501" t="s">
        <v>48</v>
      </c>
      <c r="B164" s="1501">
        <v>66151</v>
      </c>
      <c r="C164" s="1498" t="s">
        <v>223</v>
      </c>
      <c r="D164" s="1498" t="s">
        <v>31</v>
      </c>
      <c r="E164" s="1499" t="s">
        <v>32</v>
      </c>
      <c r="F164" s="1498" t="s">
        <v>49</v>
      </c>
      <c r="G164" s="1498" t="s">
        <v>34</v>
      </c>
      <c r="H164" s="1523" t="s">
        <v>514</v>
      </c>
      <c r="I164" s="1513">
        <v>45047</v>
      </c>
      <c r="J164" s="1526">
        <v>1</v>
      </c>
      <c r="K164" s="1526" t="s">
        <v>125</v>
      </c>
      <c r="L164" s="653">
        <v>329162</v>
      </c>
      <c r="M164" s="653">
        <f>SUM(L164*20%)+L164</f>
        <v>394994.4</v>
      </c>
      <c r="N164" s="1498" t="s">
        <v>129</v>
      </c>
      <c r="O164" s="1498" t="s">
        <v>35</v>
      </c>
      <c r="P164" s="1498" t="s">
        <v>35</v>
      </c>
    </row>
    <row r="165" spans="1:16" ht="27" customHeight="1">
      <c r="A165" s="1500" t="s">
        <v>48</v>
      </c>
      <c r="B165" s="1500" t="s">
        <v>125</v>
      </c>
      <c r="C165" s="1501" t="s">
        <v>82</v>
      </c>
      <c r="D165" s="1501" t="s">
        <v>82</v>
      </c>
      <c r="E165" s="1527" t="s">
        <v>32</v>
      </c>
      <c r="F165" s="1501" t="s">
        <v>49</v>
      </c>
      <c r="G165" s="1500" t="s">
        <v>34</v>
      </c>
      <c r="H165" s="1519" t="s">
        <v>515</v>
      </c>
      <c r="I165" s="1515">
        <v>45108</v>
      </c>
      <c r="J165" s="1516">
        <v>3</v>
      </c>
      <c r="K165" s="1516">
        <v>3</v>
      </c>
      <c r="L165" s="653">
        <v>331727</v>
      </c>
      <c r="M165" s="653">
        <f>SUM(L165*20%)+L165</f>
        <v>398072.4</v>
      </c>
      <c r="N165" s="1502" t="s">
        <v>173</v>
      </c>
      <c r="O165" s="1502" t="s">
        <v>36</v>
      </c>
      <c r="P165" s="1502" t="s">
        <v>125</v>
      </c>
    </row>
    <row r="166" spans="1:16" ht="27" customHeight="1">
      <c r="A166" s="1500" t="s">
        <v>48</v>
      </c>
      <c r="B166" s="1500" t="s">
        <v>125</v>
      </c>
      <c r="C166" s="1501" t="s">
        <v>92</v>
      </c>
      <c r="D166" s="1498" t="s">
        <v>92</v>
      </c>
      <c r="E166" s="1527" t="s">
        <v>516</v>
      </c>
      <c r="F166" s="1501" t="s">
        <v>49</v>
      </c>
      <c r="G166" s="1500" t="s">
        <v>34</v>
      </c>
      <c r="H166" s="1520" t="s">
        <v>517</v>
      </c>
      <c r="I166" s="1515">
        <v>45108</v>
      </c>
      <c r="J166" s="1516">
        <v>3</v>
      </c>
      <c r="K166" s="1516">
        <v>3</v>
      </c>
      <c r="L166" s="653">
        <v>331727</v>
      </c>
      <c r="M166" s="653">
        <f>SUM(L166*20%)+L166</f>
        <v>398072.4</v>
      </c>
      <c r="N166" s="1502" t="s">
        <v>173</v>
      </c>
      <c r="O166" s="1502" t="s">
        <v>36</v>
      </c>
      <c r="P166" s="1502" t="s">
        <v>125</v>
      </c>
    </row>
    <row r="167" spans="1:16" ht="27" customHeight="1">
      <c r="A167" s="1500" t="s">
        <v>48</v>
      </c>
      <c r="B167" s="1500" t="s">
        <v>125</v>
      </c>
      <c r="C167" s="1501" t="s">
        <v>92</v>
      </c>
      <c r="D167" s="1498" t="s">
        <v>92</v>
      </c>
      <c r="E167" s="1527" t="s">
        <v>32</v>
      </c>
      <c r="F167" s="1501" t="s">
        <v>49</v>
      </c>
      <c r="G167" s="1500" t="s">
        <v>34</v>
      </c>
      <c r="H167" s="1520" t="s">
        <v>518</v>
      </c>
      <c r="I167" s="1515">
        <v>45108</v>
      </c>
      <c r="J167" s="1516">
        <v>3</v>
      </c>
      <c r="K167" s="1516">
        <v>3</v>
      </c>
      <c r="L167" s="653">
        <v>331727</v>
      </c>
      <c r="M167" s="653">
        <f>SUM(L167*20%)+L167</f>
        <v>398072.4</v>
      </c>
      <c r="N167" s="1502" t="s">
        <v>173</v>
      </c>
      <c r="O167" s="1502" t="s">
        <v>36</v>
      </c>
      <c r="P167" s="1502" t="s">
        <v>125</v>
      </c>
    </row>
    <row r="168" spans="1:16" ht="27" customHeight="1">
      <c r="A168" s="1500" t="s">
        <v>48</v>
      </c>
      <c r="B168" s="1500" t="s">
        <v>125</v>
      </c>
      <c r="C168" s="1501" t="s">
        <v>82</v>
      </c>
      <c r="D168" s="1501" t="s">
        <v>82</v>
      </c>
      <c r="E168" s="1527" t="s">
        <v>32</v>
      </c>
      <c r="F168" s="1501" t="s">
        <v>49</v>
      </c>
      <c r="G168" s="1500" t="s">
        <v>34</v>
      </c>
      <c r="H168" s="1520" t="s">
        <v>519</v>
      </c>
      <c r="I168" s="1515">
        <v>45108</v>
      </c>
      <c r="J168" s="1516">
        <v>3</v>
      </c>
      <c r="K168" s="1516">
        <v>3</v>
      </c>
      <c r="L168" s="653">
        <v>331727</v>
      </c>
      <c r="M168" s="653">
        <f>SUM(L168*20%)+L168</f>
        <v>398072.4</v>
      </c>
      <c r="N168" s="1502" t="s">
        <v>173</v>
      </c>
      <c r="O168" s="1502" t="s">
        <v>36</v>
      </c>
      <c r="P168" s="1502" t="s">
        <v>125</v>
      </c>
    </row>
    <row r="169" spans="1:16" ht="27" customHeight="1">
      <c r="A169" s="1500" t="s">
        <v>48</v>
      </c>
      <c r="B169" s="1500" t="s">
        <v>125</v>
      </c>
      <c r="C169" s="1501" t="s">
        <v>82</v>
      </c>
      <c r="D169" s="1501" t="s">
        <v>82</v>
      </c>
      <c r="E169" s="1527" t="s">
        <v>32</v>
      </c>
      <c r="F169" s="1501" t="s">
        <v>49</v>
      </c>
      <c r="G169" s="1500" t="s">
        <v>34</v>
      </c>
      <c r="H169" s="1520" t="s">
        <v>520</v>
      </c>
      <c r="I169" s="1515">
        <v>45108</v>
      </c>
      <c r="J169" s="1516">
        <v>3</v>
      </c>
      <c r="K169" s="1516">
        <v>3</v>
      </c>
      <c r="L169" s="653">
        <v>331727</v>
      </c>
      <c r="M169" s="653">
        <f>SUM(L169*20%)+L169</f>
        <v>398072.4</v>
      </c>
      <c r="N169" s="1502" t="s">
        <v>173</v>
      </c>
      <c r="O169" s="1502" t="s">
        <v>36</v>
      </c>
      <c r="P169" s="1502" t="s">
        <v>125</v>
      </c>
    </row>
    <row r="170" spans="1:16" ht="27" customHeight="1">
      <c r="A170" s="1500" t="s">
        <v>48</v>
      </c>
      <c r="B170" s="1500" t="s">
        <v>125</v>
      </c>
      <c r="C170" s="1501" t="s">
        <v>82</v>
      </c>
      <c r="D170" s="1501" t="s">
        <v>82</v>
      </c>
      <c r="E170" s="1527" t="s">
        <v>32</v>
      </c>
      <c r="F170" s="1501" t="s">
        <v>49</v>
      </c>
      <c r="G170" s="1500" t="s">
        <v>34</v>
      </c>
      <c r="H170" s="1520" t="s">
        <v>521</v>
      </c>
      <c r="I170" s="1515">
        <v>45108</v>
      </c>
      <c r="J170" s="1516">
        <v>3</v>
      </c>
      <c r="K170" s="1516">
        <v>3</v>
      </c>
      <c r="L170" s="653">
        <v>331727</v>
      </c>
      <c r="M170" s="653">
        <f>SUM(L170*20%)+L170</f>
        <v>398072.4</v>
      </c>
      <c r="N170" s="1502" t="s">
        <v>173</v>
      </c>
      <c r="O170" s="1502" t="s">
        <v>36</v>
      </c>
      <c r="P170" s="1502" t="s">
        <v>125</v>
      </c>
    </row>
    <row r="171" spans="1:16" ht="27" customHeight="1">
      <c r="A171" s="1500" t="s">
        <v>48</v>
      </c>
      <c r="B171" s="1500" t="s">
        <v>125</v>
      </c>
      <c r="C171" s="1501" t="s">
        <v>82</v>
      </c>
      <c r="D171" s="1501" t="s">
        <v>82</v>
      </c>
      <c r="E171" s="1527" t="s">
        <v>32</v>
      </c>
      <c r="F171" s="1501" t="s">
        <v>49</v>
      </c>
      <c r="G171" s="1500" t="s">
        <v>34</v>
      </c>
      <c r="H171" s="1520" t="s">
        <v>521</v>
      </c>
      <c r="I171" s="1515">
        <v>45108</v>
      </c>
      <c r="J171" s="1516">
        <v>3</v>
      </c>
      <c r="K171" s="1516">
        <v>3</v>
      </c>
      <c r="L171" s="653">
        <v>331727</v>
      </c>
      <c r="M171" s="653">
        <f>SUM(L171*20%)+L171</f>
        <v>398072.4</v>
      </c>
      <c r="N171" s="1502" t="s">
        <v>173</v>
      </c>
      <c r="O171" s="1502" t="s">
        <v>36</v>
      </c>
      <c r="P171" s="1502" t="s">
        <v>125</v>
      </c>
    </row>
    <row r="172" spans="1:16" ht="27" customHeight="1">
      <c r="A172" s="1500" t="s">
        <v>48</v>
      </c>
      <c r="B172" s="1500" t="s">
        <v>125</v>
      </c>
      <c r="C172" s="1501" t="s">
        <v>82</v>
      </c>
      <c r="D172" s="1501" t="s">
        <v>82</v>
      </c>
      <c r="E172" s="1527" t="s">
        <v>32</v>
      </c>
      <c r="F172" s="1501" t="s">
        <v>49</v>
      </c>
      <c r="G172" s="1500" t="s">
        <v>34</v>
      </c>
      <c r="H172" s="1520" t="s">
        <v>521</v>
      </c>
      <c r="I172" s="1515">
        <v>45108</v>
      </c>
      <c r="J172" s="1516">
        <v>3</v>
      </c>
      <c r="K172" s="1516">
        <v>3</v>
      </c>
      <c r="L172" s="653">
        <v>331727</v>
      </c>
      <c r="M172" s="653">
        <f>SUM(L172*20%)+L172</f>
        <v>398072.4</v>
      </c>
      <c r="N172" s="1502" t="s">
        <v>173</v>
      </c>
      <c r="O172" s="1502" t="s">
        <v>36</v>
      </c>
      <c r="P172" s="1502" t="s">
        <v>125</v>
      </c>
    </row>
    <row r="173" spans="1:16" ht="27" customHeight="1">
      <c r="A173" s="1500" t="s">
        <v>48</v>
      </c>
      <c r="B173" s="1500" t="s">
        <v>125</v>
      </c>
      <c r="C173" s="1501" t="s">
        <v>82</v>
      </c>
      <c r="D173" s="1501" t="s">
        <v>82</v>
      </c>
      <c r="E173" s="1527" t="s">
        <v>32</v>
      </c>
      <c r="F173" s="1501" t="s">
        <v>49</v>
      </c>
      <c r="G173" s="1500" t="s">
        <v>34</v>
      </c>
      <c r="H173" s="1520" t="s">
        <v>531</v>
      </c>
      <c r="I173" s="1515">
        <v>45536</v>
      </c>
      <c r="J173" s="1516">
        <v>3</v>
      </c>
      <c r="K173" s="1516">
        <v>3</v>
      </c>
      <c r="L173" s="653">
        <v>350000</v>
      </c>
      <c r="M173" s="653">
        <f>SUM(L173*20%)+L173</f>
        <v>420000</v>
      </c>
      <c r="N173" s="1502" t="s">
        <v>173</v>
      </c>
      <c r="O173" s="1502" t="s">
        <v>36</v>
      </c>
      <c r="P173" s="1502" t="s">
        <v>125</v>
      </c>
    </row>
    <row r="174" spans="1:16" ht="27" customHeight="1">
      <c r="A174" s="1500" t="s">
        <v>48</v>
      </c>
      <c r="B174" s="1500" t="s">
        <v>125</v>
      </c>
      <c r="C174" s="1501" t="s">
        <v>29</v>
      </c>
      <c r="D174" s="1501" t="s">
        <v>31</v>
      </c>
      <c r="E174" s="1527" t="s">
        <v>32</v>
      </c>
      <c r="F174" s="1501" t="s">
        <v>49</v>
      </c>
      <c r="G174" s="1500" t="s">
        <v>34</v>
      </c>
      <c r="H174" s="1519" t="s">
        <v>532</v>
      </c>
      <c r="I174" s="1515" t="s">
        <v>125</v>
      </c>
      <c r="J174" s="1516" t="s">
        <v>125</v>
      </c>
      <c r="K174" s="1516" t="s">
        <v>125</v>
      </c>
      <c r="L174" s="653">
        <v>364000</v>
      </c>
      <c r="M174" s="653">
        <f>SUM(L174*20%)+L174</f>
        <v>436800</v>
      </c>
      <c r="N174" s="1502" t="s">
        <v>173</v>
      </c>
      <c r="O174" s="1502" t="s">
        <v>36</v>
      </c>
      <c r="P174" s="1502" t="s">
        <v>125</v>
      </c>
    </row>
    <row r="175" spans="1:16" ht="27" customHeight="1">
      <c r="A175" s="1501" t="s">
        <v>48</v>
      </c>
      <c r="B175" s="1501" t="s">
        <v>35</v>
      </c>
      <c r="C175" s="1498" t="s">
        <v>223</v>
      </c>
      <c r="D175" s="1498" t="s">
        <v>31</v>
      </c>
      <c r="E175" s="1499" t="s">
        <v>32</v>
      </c>
      <c r="F175" s="1498" t="s">
        <v>49</v>
      </c>
      <c r="G175" s="1498" t="s">
        <v>34</v>
      </c>
      <c r="H175" s="1499" t="s">
        <v>538</v>
      </c>
      <c r="I175" s="1513">
        <v>45170</v>
      </c>
      <c r="J175" s="1526">
        <v>2</v>
      </c>
      <c r="K175" s="1526" t="s">
        <v>125</v>
      </c>
      <c r="L175" s="653">
        <v>390349</v>
      </c>
      <c r="M175" s="653">
        <f>SUM(L175*20%)+L175</f>
        <v>468418.8</v>
      </c>
      <c r="N175" s="1498" t="s">
        <v>129</v>
      </c>
      <c r="O175" s="1498" t="s">
        <v>35</v>
      </c>
      <c r="P175" s="1498" t="s">
        <v>35</v>
      </c>
    </row>
    <row r="176" spans="1:16" ht="27" customHeight="1">
      <c r="A176" s="1500" t="s">
        <v>48</v>
      </c>
      <c r="B176" s="1500" t="s">
        <v>125</v>
      </c>
      <c r="C176" s="1529" t="s">
        <v>214</v>
      </c>
      <c r="D176" s="1501" t="s">
        <v>61</v>
      </c>
      <c r="E176" s="1527" t="s">
        <v>32</v>
      </c>
      <c r="F176" s="1501" t="s">
        <v>127</v>
      </c>
      <c r="G176" s="1500" t="s">
        <v>34</v>
      </c>
      <c r="H176" s="1519" t="s">
        <v>542</v>
      </c>
      <c r="I176" s="1515">
        <v>45135</v>
      </c>
      <c r="J176" s="1516">
        <v>48</v>
      </c>
      <c r="K176" s="1516">
        <v>1</v>
      </c>
      <c r="L176" s="653">
        <v>400000</v>
      </c>
      <c r="M176" s="653">
        <f>SUM(L176*20%)+L176</f>
        <v>480000</v>
      </c>
      <c r="N176" s="1502" t="s">
        <v>173</v>
      </c>
      <c r="O176" s="1502" t="s">
        <v>100</v>
      </c>
      <c r="P176" s="1502" t="s">
        <v>100</v>
      </c>
    </row>
    <row r="177" spans="1:16" ht="27" customHeight="1">
      <c r="A177" s="1509" t="s">
        <v>48</v>
      </c>
      <c r="B177" s="1501" t="s">
        <v>35</v>
      </c>
      <c r="C177" s="1562" t="s">
        <v>214</v>
      </c>
      <c r="D177" s="1498" t="s">
        <v>31</v>
      </c>
      <c r="E177" s="1499" t="s">
        <v>32</v>
      </c>
      <c r="F177" s="1501" t="s">
        <v>127</v>
      </c>
      <c r="G177" s="1498" t="s">
        <v>34</v>
      </c>
      <c r="H177" s="1519" t="s">
        <v>543</v>
      </c>
      <c r="I177" s="1515">
        <v>45047</v>
      </c>
      <c r="J177" s="1556">
        <v>48</v>
      </c>
      <c r="K177" s="1556" t="s">
        <v>125</v>
      </c>
      <c r="L177" s="653">
        <v>1176864.07</v>
      </c>
      <c r="M177" s="653">
        <f>SUM(L177*20%)+L177</f>
        <v>1412236.8840000001</v>
      </c>
      <c r="N177" s="1556" t="s">
        <v>163</v>
      </c>
      <c r="O177" s="1556" t="s">
        <v>100</v>
      </c>
      <c r="P177" s="1556" t="s">
        <v>100</v>
      </c>
    </row>
    <row r="178" spans="1:16" ht="27" customHeight="1">
      <c r="A178" s="1500" t="s">
        <v>48</v>
      </c>
      <c r="B178" s="1500">
        <v>73276</v>
      </c>
      <c r="C178" s="1501" t="s">
        <v>60</v>
      </c>
      <c r="D178" s="1498" t="s">
        <v>61</v>
      </c>
      <c r="E178" s="1527" t="s">
        <v>126</v>
      </c>
      <c r="F178" s="1501" t="s">
        <v>127</v>
      </c>
      <c r="G178" s="1500" t="s">
        <v>34</v>
      </c>
      <c r="H178" s="1519" t="s">
        <v>548</v>
      </c>
      <c r="I178" s="1515">
        <v>45078</v>
      </c>
      <c r="J178" s="1516">
        <v>5</v>
      </c>
      <c r="K178" s="1516" t="s">
        <v>125</v>
      </c>
      <c r="L178" s="653">
        <v>400000</v>
      </c>
      <c r="M178" s="653">
        <f>SUM(L178*20%)+L178</f>
        <v>480000</v>
      </c>
      <c r="N178" s="1502" t="s">
        <v>163</v>
      </c>
      <c r="O178" s="1502" t="s">
        <v>36</v>
      </c>
      <c r="P178" s="1502" t="s">
        <v>125</v>
      </c>
    </row>
    <row r="179" spans="1:16" ht="27" customHeight="1">
      <c r="A179" s="1500" t="s">
        <v>48</v>
      </c>
      <c r="B179" s="1500" t="s">
        <v>125</v>
      </c>
      <c r="C179" s="1529" t="s">
        <v>214</v>
      </c>
      <c r="D179" s="1498" t="s">
        <v>31</v>
      </c>
      <c r="E179" s="1499" t="s">
        <v>32</v>
      </c>
      <c r="F179" s="1501" t="s">
        <v>49</v>
      </c>
      <c r="G179" s="1500" t="s">
        <v>64</v>
      </c>
      <c r="H179" s="1519" t="s">
        <v>550</v>
      </c>
      <c r="I179" s="1515">
        <v>45444</v>
      </c>
      <c r="J179" s="1516">
        <v>12</v>
      </c>
      <c r="K179" s="1516">
        <v>12</v>
      </c>
      <c r="L179" s="653">
        <v>400000</v>
      </c>
      <c r="M179" s="653">
        <f>SUM(L179*20%)+L179</f>
        <v>480000</v>
      </c>
      <c r="N179" s="1502" t="s">
        <v>66</v>
      </c>
      <c r="O179" s="1502" t="s">
        <v>100</v>
      </c>
      <c r="P179" s="1502" t="s">
        <v>100</v>
      </c>
    </row>
    <row r="180" spans="1:16" ht="27" customHeight="1">
      <c r="A180" s="1500" t="s">
        <v>48</v>
      </c>
      <c r="B180" s="1501" t="s">
        <v>125</v>
      </c>
      <c r="C180" s="1501" t="s">
        <v>60</v>
      </c>
      <c r="D180" s="1498" t="s">
        <v>61</v>
      </c>
      <c r="E180" s="1527" t="s">
        <v>126</v>
      </c>
      <c r="F180" s="1501" t="s">
        <v>127</v>
      </c>
      <c r="G180" s="1498" t="s">
        <v>34</v>
      </c>
      <c r="H180" s="1520" t="s">
        <v>551</v>
      </c>
      <c r="I180" s="1502" t="s">
        <v>125</v>
      </c>
      <c r="J180" s="1511">
        <v>1</v>
      </c>
      <c r="K180" s="1326" t="s">
        <v>125</v>
      </c>
      <c r="L180" s="653">
        <v>400000</v>
      </c>
      <c r="M180" s="653">
        <f>SUM(L180*20%)+L180</f>
        <v>480000</v>
      </c>
      <c r="N180" s="1502" t="s">
        <v>129</v>
      </c>
      <c r="O180" s="1502" t="s">
        <v>36</v>
      </c>
      <c r="P180" s="1501" t="s">
        <v>125</v>
      </c>
    </row>
    <row r="181" spans="1:16" ht="27" customHeight="1">
      <c r="A181" s="1501" t="s">
        <v>48</v>
      </c>
      <c r="B181" s="1501" t="s">
        <v>35</v>
      </c>
      <c r="C181" s="1498" t="s">
        <v>223</v>
      </c>
      <c r="D181" s="1498" t="s">
        <v>31</v>
      </c>
      <c r="E181" s="1499" t="s">
        <v>32</v>
      </c>
      <c r="F181" s="1498" t="s">
        <v>49</v>
      </c>
      <c r="G181" s="1498" t="s">
        <v>34</v>
      </c>
      <c r="H181" s="1499" t="s">
        <v>557</v>
      </c>
      <c r="I181" s="1513">
        <v>45170</v>
      </c>
      <c r="J181" s="1526" t="s">
        <v>125</v>
      </c>
      <c r="K181" s="1526" t="s">
        <v>125</v>
      </c>
      <c r="L181" s="653">
        <v>407500</v>
      </c>
      <c r="M181" s="653">
        <f>SUM(L181*20%)+L181</f>
        <v>489000</v>
      </c>
      <c r="N181" s="1498" t="s">
        <v>129</v>
      </c>
      <c r="O181" s="1498" t="s">
        <v>35</v>
      </c>
      <c r="P181" s="1498" t="s">
        <v>35</v>
      </c>
    </row>
    <row r="182" spans="1:16" ht="27" customHeight="1">
      <c r="A182" s="1500" t="s">
        <v>48</v>
      </c>
      <c r="B182" s="1500" t="s">
        <v>125</v>
      </c>
      <c r="C182" s="1501" t="s">
        <v>82</v>
      </c>
      <c r="D182" s="1501" t="s">
        <v>82</v>
      </c>
      <c r="E182" s="1527" t="s">
        <v>32</v>
      </c>
      <c r="F182" s="1501" t="s">
        <v>49</v>
      </c>
      <c r="G182" s="1500" t="s">
        <v>34</v>
      </c>
      <c r="H182" s="1519" t="s">
        <v>561</v>
      </c>
      <c r="I182" s="1515">
        <v>45108</v>
      </c>
      <c r="J182" s="1516">
        <v>3</v>
      </c>
      <c r="K182" s="1516">
        <v>3</v>
      </c>
      <c r="L182" s="653">
        <f>520000*0.8</f>
        <v>416000</v>
      </c>
      <c r="M182" s="653">
        <f>SUM(L182*20%)+L182</f>
        <v>499200</v>
      </c>
      <c r="N182" s="1502" t="s">
        <v>173</v>
      </c>
      <c r="O182" s="1502" t="s">
        <v>36</v>
      </c>
      <c r="P182" s="1502" t="s">
        <v>125</v>
      </c>
    </row>
    <row r="183" spans="1:16" ht="27" customHeight="1">
      <c r="A183" s="1500" t="s">
        <v>48</v>
      </c>
      <c r="B183" s="1500" t="s">
        <v>125</v>
      </c>
      <c r="C183" s="1501" t="s">
        <v>60</v>
      </c>
      <c r="D183" s="1498" t="s">
        <v>61</v>
      </c>
      <c r="E183" s="1527" t="s">
        <v>126</v>
      </c>
      <c r="F183" s="1501" t="s">
        <v>127</v>
      </c>
      <c r="G183" s="1500" t="s">
        <v>34</v>
      </c>
      <c r="H183" s="1519" t="s">
        <v>568</v>
      </c>
      <c r="I183" s="1515">
        <v>45078</v>
      </c>
      <c r="J183" s="1516">
        <v>1</v>
      </c>
      <c r="K183" s="1516">
        <v>1</v>
      </c>
      <c r="L183" s="653">
        <v>450000</v>
      </c>
      <c r="M183" s="653">
        <f>SUM(L183*20%)+L183</f>
        <v>540000</v>
      </c>
      <c r="N183" s="1502" t="s">
        <v>129</v>
      </c>
      <c r="O183" s="1502" t="s">
        <v>36</v>
      </c>
      <c r="P183" s="1502" t="s">
        <v>125</v>
      </c>
    </row>
    <row r="184" spans="1:16" ht="27" customHeight="1">
      <c r="A184" s="1500" t="s">
        <v>48</v>
      </c>
      <c r="B184" s="1500" t="s">
        <v>125</v>
      </c>
      <c r="C184" s="1529" t="s">
        <v>214</v>
      </c>
      <c r="D184" s="1498" t="s">
        <v>31</v>
      </c>
      <c r="E184" s="1499" t="s">
        <v>32</v>
      </c>
      <c r="F184" s="1501" t="s">
        <v>49</v>
      </c>
      <c r="G184" s="1500" t="s">
        <v>64</v>
      </c>
      <c r="H184" s="1522" t="s">
        <v>570</v>
      </c>
      <c r="I184" s="1515">
        <v>45078</v>
      </c>
      <c r="J184" s="1516">
        <v>12</v>
      </c>
      <c r="K184" s="1516">
        <v>12</v>
      </c>
      <c r="L184" s="653">
        <v>475000</v>
      </c>
      <c r="M184" s="653">
        <f>SUM(L184*20%)+L184</f>
        <v>570000</v>
      </c>
      <c r="N184" s="1502" t="s">
        <v>66</v>
      </c>
      <c r="O184" s="1502" t="s">
        <v>100</v>
      </c>
      <c r="P184" s="1502" t="s">
        <v>100</v>
      </c>
    </row>
    <row r="185" spans="1:16" ht="27" customHeight="1">
      <c r="A185" s="1500" t="s">
        <v>48</v>
      </c>
      <c r="B185" s="1500" t="s">
        <v>125</v>
      </c>
      <c r="C185" s="1529" t="s">
        <v>214</v>
      </c>
      <c r="D185" s="1498" t="s">
        <v>31</v>
      </c>
      <c r="E185" s="1499" t="s">
        <v>32</v>
      </c>
      <c r="F185" s="1501" t="s">
        <v>49</v>
      </c>
      <c r="G185" s="1500" t="s">
        <v>64</v>
      </c>
      <c r="H185" s="1519" t="s">
        <v>570</v>
      </c>
      <c r="I185" s="1515">
        <v>45444</v>
      </c>
      <c r="J185" s="1516">
        <v>12</v>
      </c>
      <c r="K185" s="1516">
        <v>12</v>
      </c>
      <c r="L185" s="653">
        <v>475000</v>
      </c>
      <c r="M185" s="653">
        <f>SUM(L185*20%)+L185</f>
        <v>570000</v>
      </c>
      <c r="N185" s="1502" t="s">
        <v>66</v>
      </c>
      <c r="O185" s="1502" t="s">
        <v>100</v>
      </c>
      <c r="P185" s="1502" t="s">
        <v>100</v>
      </c>
    </row>
    <row r="186" spans="1:16" ht="27" customHeight="1">
      <c r="A186" s="1500" t="s">
        <v>48</v>
      </c>
      <c r="B186" s="1500" t="s">
        <v>125</v>
      </c>
      <c r="C186" s="1501" t="s">
        <v>60</v>
      </c>
      <c r="D186" s="1498" t="s">
        <v>61</v>
      </c>
      <c r="E186" s="1527" t="s">
        <v>126</v>
      </c>
      <c r="F186" s="1501" t="s">
        <v>127</v>
      </c>
      <c r="G186" s="1498" t="s">
        <v>34</v>
      </c>
      <c r="H186" s="1499" t="s">
        <v>575</v>
      </c>
      <c r="I186" s="1502">
        <v>45566</v>
      </c>
      <c r="J186" s="1511" t="s">
        <v>35</v>
      </c>
      <c r="K186" s="1511" t="s">
        <v>35</v>
      </c>
      <c r="L186" s="653">
        <v>480000</v>
      </c>
      <c r="M186" s="653">
        <f>SUM(L186*20%)+L186</f>
        <v>576000</v>
      </c>
      <c r="N186" s="1502" t="s">
        <v>98</v>
      </c>
      <c r="O186" s="1502" t="s">
        <v>36</v>
      </c>
      <c r="P186" s="1502" t="s">
        <v>125</v>
      </c>
    </row>
    <row r="187" spans="1:16" ht="27" customHeight="1">
      <c r="A187" s="1501" t="s">
        <v>48</v>
      </c>
      <c r="B187" s="1501" t="s">
        <v>35</v>
      </c>
      <c r="C187" s="1498" t="s">
        <v>60</v>
      </c>
      <c r="D187" s="1498" t="s">
        <v>61</v>
      </c>
      <c r="E187" s="1527" t="s">
        <v>126</v>
      </c>
      <c r="F187" s="1498" t="s">
        <v>49</v>
      </c>
      <c r="G187" s="1498" t="s">
        <v>34</v>
      </c>
      <c r="H187" s="1523" t="s">
        <v>576</v>
      </c>
      <c r="I187" s="1513">
        <v>45474</v>
      </c>
      <c r="J187" s="1526" t="s">
        <v>188</v>
      </c>
      <c r="K187" s="1526" t="s">
        <v>188</v>
      </c>
      <c r="L187" s="653">
        <v>500000</v>
      </c>
      <c r="M187" s="653">
        <f>SUM(L187*20%)+L187</f>
        <v>600000</v>
      </c>
      <c r="N187" s="1498" t="s">
        <v>129</v>
      </c>
      <c r="O187" s="1498" t="s">
        <v>35</v>
      </c>
      <c r="P187" s="1498" t="s">
        <v>35</v>
      </c>
    </row>
    <row r="188" spans="1:16" ht="27" customHeight="1">
      <c r="A188" s="1500" t="s">
        <v>48</v>
      </c>
      <c r="B188" s="1500">
        <v>62271</v>
      </c>
      <c r="C188" s="1501" t="s">
        <v>82</v>
      </c>
      <c r="D188" s="1501" t="s">
        <v>82</v>
      </c>
      <c r="E188" s="1527" t="s">
        <v>32</v>
      </c>
      <c r="F188" s="1501" t="s">
        <v>49</v>
      </c>
      <c r="G188" s="1500" t="s">
        <v>34</v>
      </c>
      <c r="H188" s="1519" t="s">
        <v>577</v>
      </c>
      <c r="I188" s="1515">
        <v>45017</v>
      </c>
      <c r="J188" s="1516" t="s">
        <v>125</v>
      </c>
      <c r="K188" s="1516" t="s">
        <v>125</v>
      </c>
      <c r="L188" s="653">
        <v>580000</v>
      </c>
      <c r="M188" s="653">
        <f>SUM(L188*20%)+L188</f>
        <v>696000</v>
      </c>
      <c r="N188" s="1502" t="s">
        <v>46</v>
      </c>
      <c r="O188" s="1502" t="s">
        <v>144</v>
      </c>
      <c r="P188" s="1502" t="s">
        <v>125</v>
      </c>
    </row>
    <row r="189" spans="1:16" ht="27" customHeight="1">
      <c r="A189" s="1500" t="s">
        <v>48</v>
      </c>
      <c r="B189" s="1500" t="s">
        <v>125</v>
      </c>
      <c r="C189" s="1501" t="s">
        <v>29</v>
      </c>
      <c r="D189" s="1501" t="s">
        <v>31</v>
      </c>
      <c r="E189" s="1527" t="s">
        <v>32</v>
      </c>
      <c r="F189" s="1501" t="s">
        <v>49</v>
      </c>
      <c r="G189" s="1498" t="s">
        <v>64</v>
      </c>
      <c r="H189" s="1499" t="s">
        <v>593</v>
      </c>
      <c r="I189" s="1502">
        <v>45383</v>
      </c>
      <c r="J189" s="1511">
        <v>67</v>
      </c>
      <c r="K189" s="1511" t="s">
        <v>594</v>
      </c>
      <c r="L189" s="653">
        <v>600000</v>
      </c>
      <c r="M189" s="653">
        <f>SUM(L189*20%)+L189</f>
        <v>720000</v>
      </c>
      <c r="N189" s="1502" t="s">
        <v>66</v>
      </c>
      <c r="O189" s="1502" t="s">
        <v>144</v>
      </c>
      <c r="P189" s="1500" t="s">
        <v>125</v>
      </c>
    </row>
    <row r="190" spans="1:16" ht="27" customHeight="1">
      <c r="A190" s="1500" t="s">
        <v>48</v>
      </c>
      <c r="B190" s="1500" t="s">
        <v>125</v>
      </c>
      <c r="C190" s="1501" t="s">
        <v>223</v>
      </c>
      <c r="D190" s="1498" t="s">
        <v>61</v>
      </c>
      <c r="E190" s="1527" t="s">
        <v>126</v>
      </c>
      <c r="F190" s="1501" t="s">
        <v>127</v>
      </c>
      <c r="G190" s="1500" t="s">
        <v>34</v>
      </c>
      <c r="H190" s="1519" t="s">
        <v>598</v>
      </c>
      <c r="I190" s="1515">
        <v>45383</v>
      </c>
      <c r="J190" s="1516" t="s">
        <v>125</v>
      </c>
      <c r="K190" s="1516" t="s">
        <v>125</v>
      </c>
      <c r="L190" s="653">
        <v>627440</v>
      </c>
      <c r="M190" s="653">
        <f>SUM(L190*20%)+L190</f>
        <v>752928</v>
      </c>
      <c r="N190" s="1502" t="s">
        <v>186</v>
      </c>
      <c r="O190" s="1502" t="s">
        <v>100</v>
      </c>
      <c r="P190" s="1502" t="s">
        <v>100</v>
      </c>
    </row>
    <row r="191" spans="1:16" ht="27" customHeight="1">
      <c r="A191" s="1501" t="s">
        <v>48</v>
      </c>
      <c r="B191" s="1501">
        <v>66216</v>
      </c>
      <c r="C191" s="1498" t="s">
        <v>60</v>
      </c>
      <c r="D191" s="1498" t="s">
        <v>61</v>
      </c>
      <c r="E191" s="1527" t="s">
        <v>170</v>
      </c>
      <c r="F191" s="1498" t="s">
        <v>483</v>
      </c>
      <c r="G191" s="1498" t="s">
        <v>34</v>
      </c>
      <c r="H191" s="1499" t="s">
        <v>599</v>
      </c>
      <c r="I191" s="1513">
        <v>45047</v>
      </c>
      <c r="J191" s="1501">
        <v>48</v>
      </c>
      <c r="K191" s="1501" t="s">
        <v>125</v>
      </c>
      <c r="L191" s="653">
        <f>160000*4</f>
        <v>640000</v>
      </c>
      <c r="M191" s="653">
        <f>SUM(L191*20%)+L191</f>
        <v>768000</v>
      </c>
      <c r="N191" s="1514" t="s">
        <v>98</v>
      </c>
      <c r="O191" s="1498" t="s">
        <v>600</v>
      </c>
      <c r="P191" s="1498" t="s">
        <v>35</v>
      </c>
    </row>
    <row r="192" spans="1:16" ht="27" customHeight="1">
      <c r="A192" s="1501" t="s">
        <v>48</v>
      </c>
      <c r="B192" s="1501" t="s">
        <v>35</v>
      </c>
      <c r="C192" s="1498" t="s">
        <v>223</v>
      </c>
      <c r="D192" s="1498" t="s">
        <v>31</v>
      </c>
      <c r="E192" s="1499" t="s">
        <v>32</v>
      </c>
      <c r="F192" s="1498" t="s">
        <v>49</v>
      </c>
      <c r="G192" s="1498" t="s">
        <v>34</v>
      </c>
      <c r="H192" s="1499" t="s">
        <v>603</v>
      </c>
      <c r="I192" s="1513">
        <v>45108</v>
      </c>
      <c r="J192" s="1526">
        <v>5</v>
      </c>
      <c r="K192" s="1526" t="s">
        <v>125</v>
      </c>
      <c r="L192" s="653">
        <v>652000</v>
      </c>
      <c r="M192" s="653">
        <f>SUM(L192*20%)+L192</f>
        <v>782400</v>
      </c>
      <c r="N192" s="1498" t="s">
        <v>129</v>
      </c>
      <c r="O192" s="1498" t="s">
        <v>35</v>
      </c>
      <c r="P192" s="1498" t="s">
        <v>35</v>
      </c>
    </row>
    <row r="193" spans="1:16" ht="27" customHeight="1">
      <c r="A193" s="1500" t="s">
        <v>48</v>
      </c>
      <c r="B193" s="1500" t="s">
        <v>125</v>
      </c>
      <c r="C193" s="1501" t="s">
        <v>60</v>
      </c>
      <c r="D193" s="1498" t="s">
        <v>61</v>
      </c>
      <c r="E193" s="1527" t="s">
        <v>126</v>
      </c>
      <c r="F193" s="1501" t="s">
        <v>127</v>
      </c>
      <c r="G193" s="1500" t="s">
        <v>34</v>
      </c>
      <c r="H193" s="1520" t="s">
        <v>617</v>
      </c>
      <c r="I193" s="1515">
        <v>44986</v>
      </c>
      <c r="J193" s="1516">
        <v>4</v>
      </c>
      <c r="K193" s="1516">
        <v>4</v>
      </c>
      <c r="L193" s="653">
        <v>700000</v>
      </c>
      <c r="M193" s="653">
        <f>SUM(L193*20%)+L193</f>
        <v>840000</v>
      </c>
      <c r="N193" s="1502" t="s">
        <v>129</v>
      </c>
      <c r="O193" s="1502" t="s">
        <v>144</v>
      </c>
      <c r="P193" s="1502" t="s">
        <v>125</v>
      </c>
    </row>
    <row r="194" spans="1:16" ht="27" customHeight="1">
      <c r="A194" s="1500" t="s">
        <v>48</v>
      </c>
      <c r="B194" s="1500" t="s">
        <v>125</v>
      </c>
      <c r="C194" s="1500" t="s">
        <v>60</v>
      </c>
      <c r="D194" s="1501" t="s">
        <v>61</v>
      </c>
      <c r="E194" s="1527" t="s">
        <v>32</v>
      </c>
      <c r="F194" s="1501" t="s">
        <v>127</v>
      </c>
      <c r="G194" s="1500" t="s">
        <v>34</v>
      </c>
      <c r="H194" s="1519" t="s">
        <v>620</v>
      </c>
      <c r="I194" s="1515" t="s">
        <v>188</v>
      </c>
      <c r="J194" s="1516">
        <v>6</v>
      </c>
      <c r="K194" s="1516">
        <v>6</v>
      </c>
      <c r="L194" s="653">
        <v>750000</v>
      </c>
      <c r="M194" s="653">
        <f>SUM(L194*20%)+L194</f>
        <v>900000</v>
      </c>
      <c r="N194" s="1502" t="s">
        <v>46</v>
      </c>
      <c r="O194" s="1502" t="s">
        <v>621</v>
      </c>
      <c r="P194" s="1502" t="s">
        <v>100</v>
      </c>
    </row>
    <row r="195" spans="1:16" ht="27" customHeight="1">
      <c r="A195" s="1500" t="s">
        <v>48</v>
      </c>
      <c r="B195" s="1500" t="s">
        <v>125</v>
      </c>
      <c r="C195" s="1500" t="s">
        <v>60</v>
      </c>
      <c r="D195" s="1501" t="s">
        <v>61</v>
      </c>
      <c r="E195" s="1527" t="s">
        <v>32</v>
      </c>
      <c r="F195" s="1501" t="s">
        <v>127</v>
      </c>
      <c r="G195" s="1500" t="s">
        <v>34</v>
      </c>
      <c r="H195" s="1519" t="s">
        <v>626</v>
      </c>
      <c r="I195" s="1515">
        <v>45082</v>
      </c>
      <c r="J195" s="1516">
        <v>3</v>
      </c>
      <c r="K195" s="1516">
        <v>3</v>
      </c>
      <c r="L195" s="653">
        <v>776702</v>
      </c>
      <c r="M195" s="653">
        <f>SUM(L195*20%)+L195</f>
        <v>932042.4</v>
      </c>
      <c r="N195" s="1502" t="s">
        <v>129</v>
      </c>
      <c r="O195" s="1502" t="s">
        <v>41</v>
      </c>
      <c r="P195" s="1502">
        <v>44895</v>
      </c>
    </row>
    <row r="196" spans="1:16" s="1552" customFormat="1" ht="27" customHeight="1">
      <c r="A196" s="1501" t="s">
        <v>48</v>
      </c>
      <c r="B196" s="1501" t="s">
        <v>35</v>
      </c>
      <c r="C196" s="1498" t="s">
        <v>223</v>
      </c>
      <c r="D196" s="1498" t="s">
        <v>31</v>
      </c>
      <c r="E196" s="1499" t="s">
        <v>32</v>
      </c>
      <c r="F196" s="1498" t="s">
        <v>49</v>
      </c>
      <c r="G196" s="1498" t="s">
        <v>34</v>
      </c>
      <c r="H196" s="1499" t="s">
        <v>627</v>
      </c>
      <c r="I196" s="1513">
        <v>45078</v>
      </c>
      <c r="J196" s="1526">
        <v>4</v>
      </c>
      <c r="K196" s="1526" t="s">
        <v>125</v>
      </c>
      <c r="L196" s="653">
        <v>777000</v>
      </c>
      <c r="M196" s="653">
        <f>SUM(L196*20%)+L196</f>
        <v>932400</v>
      </c>
      <c r="N196" s="1498" t="s">
        <v>129</v>
      </c>
      <c r="O196" s="1498" t="s">
        <v>35</v>
      </c>
      <c r="P196" s="1498" t="s">
        <v>35</v>
      </c>
    </row>
    <row r="197" spans="1:16" s="1552" customFormat="1" ht="27" customHeight="1">
      <c r="A197" s="1500" t="s">
        <v>48</v>
      </c>
      <c r="B197" s="1500" t="s">
        <v>125</v>
      </c>
      <c r="C197" s="1501" t="s">
        <v>223</v>
      </c>
      <c r="D197" s="1498" t="s">
        <v>61</v>
      </c>
      <c r="E197" s="1527" t="s">
        <v>126</v>
      </c>
      <c r="F197" s="1501" t="s">
        <v>127</v>
      </c>
      <c r="G197" s="1500" t="s">
        <v>34</v>
      </c>
      <c r="H197" s="1519" t="s">
        <v>634</v>
      </c>
      <c r="I197" s="1515">
        <v>45108</v>
      </c>
      <c r="J197" s="1516" t="s">
        <v>125</v>
      </c>
      <c r="K197" s="1516" t="s">
        <v>125</v>
      </c>
      <c r="L197" s="653">
        <v>791430</v>
      </c>
      <c r="M197" s="653">
        <f>SUM(L197*20%)+L197</f>
        <v>949716</v>
      </c>
      <c r="N197" s="1502" t="s">
        <v>186</v>
      </c>
      <c r="O197" s="1502" t="s">
        <v>100</v>
      </c>
      <c r="P197" s="1502" t="s">
        <v>100</v>
      </c>
    </row>
    <row r="198" spans="1:16" ht="27" customHeight="1">
      <c r="A198" s="1500" t="s">
        <v>48</v>
      </c>
      <c r="B198" s="1500">
        <v>66500</v>
      </c>
      <c r="C198" s="1501" t="s">
        <v>82</v>
      </c>
      <c r="D198" s="1501" t="s">
        <v>82</v>
      </c>
      <c r="E198" s="1527" t="s">
        <v>32</v>
      </c>
      <c r="F198" s="1501" t="s">
        <v>49</v>
      </c>
      <c r="G198" s="1500" t="s">
        <v>34</v>
      </c>
      <c r="H198" s="1519" t="s">
        <v>640</v>
      </c>
      <c r="I198" s="1515">
        <v>45108</v>
      </c>
      <c r="J198" s="1516">
        <v>3</v>
      </c>
      <c r="K198" s="1516">
        <v>3</v>
      </c>
      <c r="L198" s="653">
        <v>800000</v>
      </c>
      <c r="M198" s="653">
        <f>SUM(L198*20%)+L198</f>
        <v>960000</v>
      </c>
      <c r="N198" s="1502" t="s">
        <v>173</v>
      </c>
      <c r="O198" s="1502" t="s">
        <v>36</v>
      </c>
      <c r="P198" s="1502" t="s">
        <v>125</v>
      </c>
    </row>
    <row r="199" spans="1:16" ht="27" customHeight="1">
      <c r="A199" s="1500" t="s">
        <v>48</v>
      </c>
      <c r="B199" s="1500" t="s">
        <v>125</v>
      </c>
      <c r="C199" s="1501" t="s">
        <v>29</v>
      </c>
      <c r="D199" s="1501" t="s">
        <v>31</v>
      </c>
      <c r="E199" s="1527" t="s">
        <v>32</v>
      </c>
      <c r="F199" s="1501" t="s">
        <v>49</v>
      </c>
      <c r="G199" s="1498" t="s">
        <v>64</v>
      </c>
      <c r="H199" s="1499" t="s">
        <v>641</v>
      </c>
      <c r="I199" s="1502">
        <v>45383</v>
      </c>
      <c r="J199" s="1511">
        <v>67</v>
      </c>
      <c r="K199" s="1511" t="s">
        <v>594</v>
      </c>
      <c r="L199" s="653">
        <v>800000</v>
      </c>
      <c r="M199" s="653">
        <f>SUM(L199*20%)+L199</f>
        <v>960000</v>
      </c>
      <c r="N199" s="1502" t="s">
        <v>66</v>
      </c>
      <c r="O199" s="1502" t="s">
        <v>144</v>
      </c>
      <c r="P199" s="1500" t="s">
        <v>125</v>
      </c>
    </row>
    <row r="200" spans="1:16" ht="27" customHeight="1">
      <c r="A200" s="1500" t="s">
        <v>48</v>
      </c>
      <c r="B200" s="1500" t="s">
        <v>125</v>
      </c>
      <c r="C200" s="1529" t="s">
        <v>214</v>
      </c>
      <c r="D200" s="1498" t="s">
        <v>31</v>
      </c>
      <c r="E200" s="1499" t="s">
        <v>32</v>
      </c>
      <c r="F200" s="1501" t="s">
        <v>49</v>
      </c>
      <c r="G200" s="1500" t="s">
        <v>64</v>
      </c>
      <c r="H200" s="1519" t="s">
        <v>642</v>
      </c>
      <c r="I200" s="1515">
        <v>45413</v>
      </c>
      <c r="J200" s="1516">
        <v>24</v>
      </c>
      <c r="K200" s="1516">
        <v>24</v>
      </c>
      <c r="L200" s="653">
        <v>800000</v>
      </c>
      <c r="M200" s="653">
        <f>SUM(L200*20%)+L200</f>
        <v>960000</v>
      </c>
      <c r="N200" s="1502" t="s">
        <v>66</v>
      </c>
      <c r="O200" s="1502" t="s">
        <v>100</v>
      </c>
      <c r="P200" s="1502" t="s">
        <v>100</v>
      </c>
    </row>
    <row r="201" spans="1:16" ht="27" customHeight="1">
      <c r="A201" s="1500" t="s">
        <v>48</v>
      </c>
      <c r="B201" s="1500" t="s">
        <v>125</v>
      </c>
      <c r="C201" s="1501" t="s">
        <v>92</v>
      </c>
      <c r="D201" s="1498" t="s">
        <v>152</v>
      </c>
      <c r="E201" s="1527" t="s">
        <v>192</v>
      </c>
      <c r="F201" s="1501" t="s">
        <v>49</v>
      </c>
      <c r="G201" s="1498" t="s">
        <v>34</v>
      </c>
      <c r="H201" s="1520" t="s">
        <v>643</v>
      </c>
      <c r="I201" s="1502">
        <v>45017</v>
      </c>
      <c r="J201" s="1511" t="s">
        <v>125</v>
      </c>
      <c r="K201" s="1511" t="s">
        <v>125</v>
      </c>
      <c r="L201" s="653">
        <v>800000</v>
      </c>
      <c r="M201" s="653">
        <f>SUM(L201*20%)+L201</f>
        <v>960000</v>
      </c>
      <c r="N201" s="1502" t="s">
        <v>163</v>
      </c>
      <c r="O201" s="1502" t="s">
        <v>36</v>
      </c>
      <c r="P201" s="1500" t="s">
        <v>125</v>
      </c>
    </row>
    <row r="202" spans="1:16" ht="27" customHeight="1">
      <c r="A202" s="1501" t="s">
        <v>48</v>
      </c>
      <c r="B202" s="1501" t="s">
        <v>35</v>
      </c>
      <c r="C202" s="1498" t="s">
        <v>223</v>
      </c>
      <c r="D202" s="1498" t="s">
        <v>31</v>
      </c>
      <c r="E202" s="1499" t="s">
        <v>32</v>
      </c>
      <c r="F202" s="1498" t="s">
        <v>49</v>
      </c>
      <c r="G202" s="1498" t="s">
        <v>34</v>
      </c>
      <c r="H202" s="1499" t="s">
        <v>645</v>
      </c>
      <c r="I202" s="1513">
        <v>45170</v>
      </c>
      <c r="J202" s="1526">
        <v>2</v>
      </c>
      <c r="K202" s="1526" t="s">
        <v>125</v>
      </c>
      <c r="L202" s="653">
        <v>801000</v>
      </c>
      <c r="M202" s="653">
        <f>SUM(L202*20%)+L202</f>
        <v>961200</v>
      </c>
      <c r="N202" s="1498" t="s">
        <v>129</v>
      </c>
      <c r="O202" s="1498" t="s">
        <v>35</v>
      </c>
      <c r="P202" s="1498" t="s">
        <v>35</v>
      </c>
    </row>
    <row r="203" spans="1:16" ht="27" customHeight="1">
      <c r="A203" s="1500" t="s">
        <v>48</v>
      </c>
      <c r="B203" s="1500" t="s">
        <v>125</v>
      </c>
      <c r="C203" s="1501" t="s">
        <v>60</v>
      </c>
      <c r="D203" s="1498" t="s">
        <v>61</v>
      </c>
      <c r="E203" s="1499" t="s">
        <v>62</v>
      </c>
      <c r="F203" s="1501" t="s">
        <v>127</v>
      </c>
      <c r="G203" s="1498" t="s">
        <v>64</v>
      </c>
      <c r="H203" s="1499" t="s">
        <v>646</v>
      </c>
      <c r="I203" s="1502">
        <v>45505</v>
      </c>
      <c r="J203" s="1511">
        <v>24</v>
      </c>
      <c r="K203" s="1511">
        <v>24</v>
      </c>
      <c r="L203" s="653">
        <f>SUM(AVERAGE(487693.25,440762.85,296504.37))*2</f>
        <v>816640.31333333335</v>
      </c>
      <c r="M203" s="653">
        <f>SUM(L203*20%)+L203</f>
        <v>979968.37600000005</v>
      </c>
      <c r="N203" s="1502" t="s">
        <v>66</v>
      </c>
      <c r="O203" s="1502" t="s">
        <v>144</v>
      </c>
      <c r="P203" s="1502" t="s">
        <v>125</v>
      </c>
    </row>
    <row r="204" spans="1:16" ht="27" customHeight="1">
      <c r="A204" s="1500" t="s">
        <v>48</v>
      </c>
      <c r="B204" s="1500" t="s">
        <v>125</v>
      </c>
      <c r="C204" s="1501" t="s">
        <v>60</v>
      </c>
      <c r="D204" s="1498" t="s">
        <v>61</v>
      </c>
      <c r="E204" s="1527" t="s">
        <v>126</v>
      </c>
      <c r="F204" s="1501" t="s">
        <v>49</v>
      </c>
      <c r="G204" s="1498" t="s">
        <v>34</v>
      </c>
      <c r="H204" s="1499" t="s">
        <v>647</v>
      </c>
      <c r="I204" s="1502">
        <v>45200</v>
      </c>
      <c r="J204" s="1511" t="s">
        <v>125</v>
      </c>
      <c r="K204" s="1511" t="s">
        <v>125</v>
      </c>
      <c r="L204" s="653">
        <v>835329.96</v>
      </c>
      <c r="M204" s="653">
        <f>SUM(L204*20%)+L204</f>
        <v>1002395.9519999999</v>
      </c>
      <c r="N204" s="1502" t="s">
        <v>129</v>
      </c>
      <c r="O204" s="1502" t="s">
        <v>144</v>
      </c>
      <c r="P204" s="1502" t="s">
        <v>125</v>
      </c>
    </row>
    <row r="205" spans="1:16" ht="27" customHeight="1">
      <c r="A205" s="1501" t="s">
        <v>48</v>
      </c>
      <c r="B205" s="1501" t="s">
        <v>35</v>
      </c>
      <c r="C205" s="1498" t="s">
        <v>223</v>
      </c>
      <c r="D205" s="1498" t="s">
        <v>31</v>
      </c>
      <c r="E205" s="1499" t="s">
        <v>32</v>
      </c>
      <c r="F205" s="1498" t="s">
        <v>49</v>
      </c>
      <c r="G205" s="1498" t="s">
        <v>34</v>
      </c>
      <c r="H205" s="1523" t="s">
        <v>649</v>
      </c>
      <c r="I205" s="1513">
        <v>45047</v>
      </c>
      <c r="J205" s="1526">
        <v>3</v>
      </c>
      <c r="K205" s="1526">
        <v>3</v>
      </c>
      <c r="L205" s="653">
        <v>850000</v>
      </c>
      <c r="M205" s="653">
        <f>SUM(L205*20%)+L205</f>
        <v>1020000</v>
      </c>
      <c r="N205" s="1498" t="s">
        <v>129</v>
      </c>
      <c r="O205" s="1498" t="s">
        <v>35</v>
      </c>
      <c r="P205" s="1498" t="s">
        <v>35</v>
      </c>
    </row>
    <row r="206" spans="1:16" ht="27" customHeight="1">
      <c r="A206" s="1500" t="s">
        <v>48</v>
      </c>
      <c r="B206" s="1500" t="s">
        <v>125</v>
      </c>
      <c r="C206" s="1500" t="s">
        <v>60</v>
      </c>
      <c r="D206" s="1501" t="s">
        <v>61</v>
      </c>
      <c r="E206" s="1527" t="s">
        <v>32</v>
      </c>
      <c r="F206" s="1501" t="s">
        <v>127</v>
      </c>
      <c r="G206" s="1498" t="s">
        <v>34</v>
      </c>
      <c r="H206" s="1499" t="s">
        <v>650</v>
      </c>
      <c r="I206" s="1502">
        <v>45108</v>
      </c>
      <c r="J206" s="1511" t="s">
        <v>125</v>
      </c>
      <c r="K206" s="662" t="s">
        <v>125</v>
      </c>
      <c r="L206" s="653">
        <v>900000</v>
      </c>
      <c r="M206" s="653">
        <f>SUM(L206*20%)+L206</f>
        <v>1080000</v>
      </c>
      <c r="N206" s="1502" t="s">
        <v>129</v>
      </c>
      <c r="O206" s="1502" t="s">
        <v>100</v>
      </c>
      <c r="P206" s="1501" t="s">
        <v>125</v>
      </c>
    </row>
    <row r="207" spans="1:16" ht="12.75" customHeight="1">
      <c r="A207" s="1500" t="s">
        <v>48</v>
      </c>
      <c r="B207" s="1500" t="s">
        <v>125</v>
      </c>
      <c r="C207" s="1529" t="s">
        <v>214</v>
      </c>
      <c r="D207" s="1498" t="s">
        <v>31</v>
      </c>
      <c r="E207" s="1499" t="s">
        <v>32</v>
      </c>
      <c r="F207" s="1501" t="s">
        <v>49</v>
      </c>
      <c r="G207" s="1500" t="s">
        <v>64</v>
      </c>
      <c r="H207" s="1519" t="s">
        <v>656</v>
      </c>
      <c r="I207" s="1515">
        <v>45066</v>
      </c>
      <c r="J207" s="1516">
        <v>24</v>
      </c>
      <c r="K207" s="1516">
        <v>24</v>
      </c>
      <c r="L207" s="653">
        <v>930000</v>
      </c>
      <c r="M207" s="653">
        <f>SUM(L207*20%)+L207</f>
        <v>1116000</v>
      </c>
      <c r="N207" s="1502" t="s">
        <v>66</v>
      </c>
      <c r="O207" s="1502" t="s">
        <v>100</v>
      </c>
      <c r="P207" s="1502" t="s">
        <v>100</v>
      </c>
    </row>
    <row r="208" spans="1:16" ht="27" customHeight="1">
      <c r="A208" s="1500" t="s">
        <v>48</v>
      </c>
      <c r="B208" s="1500" t="s">
        <v>125</v>
      </c>
      <c r="C208" s="1501" t="s">
        <v>60</v>
      </c>
      <c r="D208" s="1498" t="s">
        <v>61</v>
      </c>
      <c r="E208" s="1527" t="s">
        <v>126</v>
      </c>
      <c r="F208" s="1501" t="s">
        <v>127</v>
      </c>
      <c r="G208" s="1498" t="s">
        <v>34</v>
      </c>
      <c r="H208" s="1499" t="s">
        <v>659</v>
      </c>
      <c r="I208" s="1502">
        <v>45139</v>
      </c>
      <c r="J208" s="1511">
        <v>2</v>
      </c>
      <c r="K208" s="1511">
        <v>2</v>
      </c>
      <c r="L208" s="653">
        <v>989000</v>
      </c>
      <c r="M208" s="653">
        <f>SUM(L208*20%)+L208</f>
        <v>1186800</v>
      </c>
      <c r="N208" s="1502" t="s">
        <v>129</v>
      </c>
      <c r="O208" s="1502" t="s">
        <v>144</v>
      </c>
      <c r="P208" s="1502">
        <v>43700</v>
      </c>
    </row>
    <row r="209" spans="1:16" ht="27" customHeight="1">
      <c r="A209" s="1500" t="s">
        <v>48</v>
      </c>
      <c r="B209" s="1500" t="s">
        <v>125</v>
      </c>
      <c r="C209" s="1501" t="s">
        <v>29</v>
      </c>
      <c r="D209" s="1501" t="s">
        <v>31</v>
      </c>
      <c r="E209" s="1527" t="s">
        <v>32</v>
      </c>
      <c r="F209" s="1501" t="s">
        <v>49</v>
      </c>
      <c r="G209" s="1498" t="s">
        <v>64</v>
      </c>
      <c r="H209" s="1499" t="s">
        <v>660</v>
      </c>
      <c r="I209" s="1502">
        <v>45383</v>
      </c>
      <c r="J209" s="1511">
        <v>67</v>
      </c>
      <c r="K209" s="1511" t="s">
        <v>594</v>
      </c>
      <c r="L209" s="653">
        <v>1000000</v>
      </c>
      <c r="M209" s="653">
        <f>SUM(L209*20%)+L209</f>
        <v>1200000</v>
      </c>
      <c r="N209" s="1502" t="s">
        <v>66</v>
      </c>
      <c r="O209" s="1502" t="s">
        <v>144</v>
      </c>
      <c r="P209" s="1500" t="s">
        <v>125</v>
      </c>
    </row>
    <row r="210" spans="1:16" ht="27" customHeight="1">
      <c r="A210" s="1500" t="s">
        <v>48</v>
      </c>
      <c r="B210" s="1500" t="s">
        <v>125</v>
      </c>
      <c r="C210" s="1529" t="s">
        <v>214</v>
      </c>
      <c r="D210" s="1498" t="s">
        <v>31</v>
      </c>
      <c r="E210" s="1499" t="s">
        <v>32</v>
      </c>
      <c r="F210" s="1501" t="s">
        <v>49</v>
      </c>
      <c r="G210" s="1500" t="s">
        <v>64</v>
      </c>
      <c r="H210" s="1519" t="s">
        <v>661</v>
      </c>
      <c r="I210" s="1515">
        <v>45809</v>
      </c>
      <c r="J210" s="1516">
        <v>48</v>
      </c>
      <c r="K210" s="1516">
        <v>48</v>
      </c>
      <c r="L210" s="653">
        <v>1000000</v>
      </c>
      <c r="M210" s="653">
        <f>SUM(L210*20%)+L210</f>
        <v>1200000</v>
      </c>
      <c r="N210" s="1502" t="s">
        <v>98</v>
      </c>
      <c r="O210" s="1502" t="s">
        <v>100</v>
      </c>
      <c r="P210" s="1502" t="s">
        <v>100</v>
      </c>
    </row>
    <row r="211" spans="1:16" ht="27" customHeight="1">
      <c r="A211" s="1500" t="s">
        <v>48</v>
      </c>
      <c r="B211" s="1500" t="s">
        <v>125</v>
      </c>
      <c r="C211" s="1501" t="s">
        <v>82</v>
      </c>
      <c r="D211" s="1501" t="s">
        <v>82</v>
      </c>
      <c r="E211" s="1527" t="s">
        <v>32</v>
      </c>
      <c r="F211" s="1501" t="s">
        <v>49</v>
      </c>
      <c r="G211" s="1500" t="s">
        <v>34</v>
      </c>
      <c r="H211" s="1520" t="s">
        <v>662</v>
      </c>
      <c r="I211" s="1515">
        <v>45108</v>
      </c>
      <c r="J211" s="1516" t="s">
        <v>125</v>
      </c>
      <c r="K211" s="1516" t="s">
        <v>125</v>
      </c>
      <c r="L211" s="653">
        <v>1000000</v>
      </c>
      <c r="M211" s="653">
        <f>SUM(L211*20%)+L211</f>
        <v>1200000</v>
      </c>
      <c r="N211" s="1502" t="s">
        <v>109</v>
      </c>
      <c r="O211" s="1502" t="s">
        <v>36</v>
      </c>
      <c r="P211" s="1502" t="s">
        <v>125</v>
      </c>
    </row>
    <row r="212" spans="1:16" ht="27" customHeight="1">
      <c r="A212" s="1500" t="s">
        <v>48</v>
      </c>
      <c r="B212" s="1500">
        <v>66016</v>
      </c>
      <c r="C212" s="1500" t="s">
        <v>60</v>
      </c>
      <c r="D212" s="1501" t="s">
        <v>61</v>
      </c>
      <c r="E212" s="1527" t="s">
        <v>32</v>
      </c>
      <c r="F212" s="1501" t="s">
        <v>127</v>
      </c>
      <c r="G212" s="1500" t="s">
        <v>34</v>
      </c>
      <c r="H212" s="1522" t="s">
        <v>663</v>
      </c>
      <c r="I212" s="1515">
        <v>45047</v>
      </c>
      <c r="J212" s="1516">
        <v>1</v>
      </c>
      <c r="K212" s="1516">
        <v>1</v>
      </c>
      <c r="L212" s="653">
        <f>125720+120739+186831+96728+150284+329561</f>
        <v>1009863</v>
      </c>
      <c r="M212" s="653">
        <f>SUM(L212*20%)+L212</f>
        <v>1211835.6000000001</v>
      </c>
      <c r="N212" s="1502" t="s">
        <v>129</v>
      </c>
      <c r="O212" s="1502" t="s">
        <v>100</v>
      </c>
      <c r="P212" s="1502" t="s">
        <v>100</v>
      </c>
    </row>
    <row r="213" spans="1:16" ht="27" customHeight="1">
      <c r="A213" s="1501" t="s">
        <v>48</v>
      </c>
      <c r="B213" s="1501" t="s">
        <v>35</v>
      </c>
      <c r="C213" s="1498" t="s">
        <v>223</v>
      </c>
      <c r="D213" s="1498" t="s">
        <v>31</v>
      </c>
      <c r="E213" s="1499" t="s">
        <v>32</v>
      </c>
      <c r="F213" s="1498" t="s">
        <v>49</v>
      </c>
      <c r="G213" s="1498" t="s">
        <v>34</v>
      </c>
      <c r="H213" s="1499" t="s">
        <v>670</v>
      </c>
      <c r="I213" s="1513">
        <v>45139</v>
      </c>
      <c r="J213" s="1526">
        <v>2</v>
      </c>
      <c r="K213" s="1526">
        <v>2</v>
      </c>
      <c r="L213" s="653">
        <f>942000+30000+150000</f>
        <v>1122000</v>
      </c>
      <c r="M213" s="653">
        <f>SUM(L213*20%)+L213</f>
        <v>1346400</v>
      </c>
      <c r="N213" s="1498" t="s">
        <v>129</v>
      </c>
      <c r="O213" s="1498" t="s">
        <v>35</v>
      </c>
      <c r="P213" s="1498" t="s">
        <v>35</v>
      </c>
    </row>
    <row r="214" spans="1:16" ht="27" customHeight="1">
      <c r="A214" s="1501" t="s">
        <v>48</v>
      </c>
      <c r="B214" s="1501" t="s">
        <v>35</v>
      </c>
      <c r="C214" s="1498" t="s">
        <v>223</v>
      </c>
      <c r="D214" s="1498" t="s">
        <v>31</v>
      </c>
      <c r="E214" s="1499" t="s">
        <v>32</v>
      </c>
      <c r="F214" s="1498" t="s">
        <v>49</v>
      </c>
      <c r="G214" s="1498" t="s">
        <v>34</v>
      </c>
      <c r="H214" s="1532" t="s">
        <v>671</v>
      </c>
      <c r="I214" s="1513">
        <v>45078</v>
      </c>
      <c r="J214" s="1526">
        <v>2</v>
      </c>
      <c r="K214" s="1526">
        <v>2</v>
      </c>
      <c r="L214" s="653">
        <v>1125000</v>
      </c>
      <c r="M214" s="653">
        <f>SUM(L214*20%)+L214</f>
        <v>1350000</v>
      </c>
      <c r="N214" s="1498" t="s">
        <v>129</v>
      </c>
      <c r="O214" s="1498" t="s">
        <v>35</v>
      </c>
      <c r="P214" s="1498" t="s">
        <v>35</v>
      </c>
    </row>
    <row r="215" spans="1:16" ht="27" customHeight="1">
      <c r="A215" s="1500" t="s">
        <v>48</v>
      </c>
      <c r="B215" s="1500" t="s">
        <v>125</v>
      </c>
      <c r="C215" s="1501" t="s">
        <v>60</v>
      </c>
      <c r="D215" s="1498" t="s">
        <v>61</v>
      </c>
      <c r="E215" s="1527" t="s">
        <v>126</v>
      </c>
      <c r="F215" s="1501" t="s">
        <v>127</v>
      </c>
      <c r="G215" s="1500" t="s">
        <v>34</v>
      </c>
      <c r="H215" s="1520" t="s">
        <v>672</v>
      </c>
      <c r="I215" s="1515" t="s">
        <v>125</v>
      </c>
      <c r="J215" s="1516" t="s">
        <v>125</v>
      </c>
      <c r="K215" s="1516" t="s">
        <v>125</v>
      </c>
      <c r="L215" s="653">
        <f>2300000/2</f>
        <v>1150000</v>
      </c>
      <c r="M215" s="653">
        <f>SUM(L215*20%)+L215</f>
        <v>1380000</v>
      </c>
      <c r="N215" s="1502" t="s">
        <v>186</v>
      </c>
      <c r="O215" s="1502" t="s">
        <v>43</v>
      </c>
      <c r="P215" s="1502" t="s">
        <v>100</v>
      </c>
    </row>
    <row r="216" spans="1:16" ht="27" customHeight="1">
      <c r="A216" s="1500" t="s">
        <v>48</v>
      </c>
      <c r="B216" s="1500" t="s">
        <v>125</v>
      </c>
      <c r="C216" s="1501" t="s">
        <v>60</v>
      </c>
      <c r="D216" s="1498" t="s">
        <v>61</v>
      </c>
      <c r="E216" s="1527" t="s">
        <v>126</v>
      </c>
      <c r="F216" s="1501" t="s">
        <v>127</v>
      </c>
      <c r="G216" s="1500" t="s">
        <v>34</v>
      </c>
      <c r="H216" s="1520" t="s">
        <v>673</v>
      </c>
      <c r="I216" s="1515" t="s">
        <v>125</v>
      </c>
      <c r="J216" s="1516" t="s">
        <v>125</v>
      </c>
      <c r="K216" s="1516" t="s">
        <v>125</v>
      </c>
      <c r="L216" s="653">
        <f>2300000/2</f>
        <v>1150000</v>
      </c>
      <c r="M216" s="653">
        <f>SUM(L216*20%)+L216</f>
        <v>1380000</v>
      </c>
      <c r="N216" s="1502" t="s">
        <v>186</v>
      </c>
      <c r="O216" s="1502" t="s">
        <v>43</v>
      </c>
      <c r="P216" s="1502" t="s">
        <v>100</v>
      </c>
    </row>
    <row r="217" spans="1:16" ht="27" customHeight="1">
      <c r="A217" s="1500" t="s">
        <v>48</v>
      </c>
      <c r="B217" s="1500">
        <v>59449</v>
      </c>
      <c r="C217" s="1500" t="s">
        <v>60</v>
      </c>
      <c r="D217" s="1501" t="s">
        <v>61</v>
      </c>
      <c r="E217" s="1527" t="s">
        <v>32</v>
      </c>
      <c r="F217" s="1501" t="s">
        <v>127</v>
      </c>
      <c r="G217" s="1500" t="s">
        <v>34</v>
      </c>
      <c r="H217" s="1519" t="s">
        <v>674</v>
      </c>
      <c r="I217" s="1515">
        <v>44958</v>
      </c>
      <c r="J217" s="1516">
        <v>2</v>
      </c>
      <c r="K217" s="1516">
        <v>2</v>
      </c>
      <c r="L217" s="653">
        <f>450000+724000</f>
        <v>1174000</v>
      </c>
      <c r="M217" s="653">
        <f>SUM(L217*20%)+L217</f>
        <v>1408800</v>
      </c>
      <c r="N217" s="1502" t="s">
        <v>129</v>
      </c>
      <c r="O217" s="1502" t="s">
        <v>43</v>
      </c>
      <c r="P217" s="1502" t="s">
        <v>100</v>
      </c>
    </row>
    <row r="218" spans="1:16" ht="27" customHeight="1">
      <c r="A218" s="1500" t="s">
        <v>48</v>
      </c>
      <c r="B218" s="1500" t="s">
        <v>125</v>
      </c>
      <c r="C218" s="1529" t="s">
        <v>214</v>
      </c>
      <c r="D218" s="1498" t="s">
        <v>31</v>
      </c>
      <c r="E218" s="1499" t="s">
        <v>32</v>
      </c>
      <c r="F218" s="1501" t="s">
        <v>49</v>
      </c>
      <c r="G218" s="1500" t="s">
        <v>34</v>
      </c>
      <c r="H218" s="1522" t="s">
        <v>675</v>
      </c>
      <c r="I218" s="1515">
        <v>45078</v>
      </c>
      <c r="J218" s="1516">
        <v>36</v>
      </c>
      <c r="K218" s="1516" t="s">
        <v>236</v>
      </c>
      <c r="L218" s="653">
        <v>1200000</v>
      </c>
      <c r="M218" s="653">
        <f>SUM(L218*20%)+L218</f>
        <v>1440000</v>
      </c>
      <c r="N218" s="1502" t="s">
        <v>98</v>
      </c>
      <c r="O218" s="1502" t="s">
        <v>100</v>
      </c>
      <c r="P218" s="1502" t="s">
        <v>100</v>
      </c>
    </row>
    <row r="219" spans="1:16" ht="27" customHeight="1">
      <c r="A219" s="1501" t="s">
        <v>48</v>
      </c>
      <c r="B219" s="1501" t="s">
        <v>35</v>
      </c>
      <c r="C219" s="1498" t="s">
        <v>223</v>
      </c>
      <c r="D219" s="1498" t="s">
        <v>31</v>
      </c>
      <c r="E219" s="1499" t="s">
        <v>32</v>
      </c>
      <c r="F219" s="1498" t="s">
        <v>49</v>
      </c>
      <c r="G219" s="1498" t="s">
        <v>34</v>
      </c>
      <c r="H219" s="1499" t="s">
        <v>676</v>
      </c>
      <c r="I219" s="1513">
        <v>45089</v>
      </c>
      <c r="J219" s="1526">
        <v>3</v>
      </c>
      <c r="K219" s="1526" t="s">
        <v>125</v>
      </c>
      <c r="L219" s="653">
        <v>1212000</v>
      </c>
      <c r="M219" s="653">
        <f>SUM(L219*20%)+L219</f>
        <v>1454400</v>
      </c>
      <c r="N219" s="1498" t="s">
        <v>129</v>
      </c>
      <c r="O219" s="1498" t="s">
        <v>35</v>
      </c>
      <c r="P219" s="1498" t="s">
        <v>35</v>
      </c>
    </row>
    <row r="220" spans="1:16" ht="27" customHeight="1">
      <c r="A220" s="1509" t="s">
        <v>48</v>
      </c>
      <c r="B220" s="1501" t="s">
        <v>35</v>
      </c>
      <c r="C220" s="1500" t="s">
        <v>60</v>
      </c>
      <c r="D220" s="1498" t="s">
        <v>31</v>
      </c>
      <c r="E220" s="1499" t="s">
        <v>32</v>
      </c>
      <c r="F220" s="1501" t="s">
        <v>127</v>
      </c>
      <c r="G220" s="1498" t="s">
        <v>34</v>
      </c>
      <c r="H220" s="1499" t="s">
        <v>677</v>
      </c>
      <c r="I220" s="1502">
        <v>45108</v>
      </c>
      <c r="J220" s="1556">
        <v>3</v>
      </c>
      <c r="K220" s="1556">
        <v>3</v>
      </c>
      <c r="L220" s="653">
        <v>1263995.45</v>
      </c>
      <c r="M220" s="653">
        <f>SUM(L220*20%)+L220</f>
        <v>1516794.54</v>
      </c>
      <c r="N220" s="1533" t="s">
        <v>129</v>
      </c>
      <c r="O220" s="1556" t="s">
        <v>100</v>
      </c>
      <c r="P220" s="1556" t="s">
        <v>100</v>
      </c>
    </row>
    <row r="221" spans="1:16" ht="27" customHeight="1">
      <c r="A221" s="1500" t="s">
        <v>48</v>
      </c>
      <c r="B221" s="1500" t="s">
        <v>125</v>
      </c>
      <c r="C221" s="1529" t="s">
        <v>214</v>
      </c>
      <c r="D221" s="1498" t="s">
        <v>31</v>
      </c>
      <c r="E221" s="1499" t="s">
        <v>32</v>
      </c>
      <c r="F221" s="1501" t="s">
        <v>681</v>
      </c>
      <c r="G221" s="1500" t="s">
        <v>34</v>
      </c>
      <c r="H221" s="1522" t="s">
        <v>682</v>
      </c>
      <c r="I221" s="1515">
        <v>45078</v>
      </c>
      <c r="J221" s="1516">
        <v>48</v>
      </c>
      <c r="K221" s="1516" t="s">
        <v>167</v>
      </c>
      <c r="L221" s="653">
        <v>1325000</v>
      </c>
      <c r="M221" s="653">
        <f>SUM(L221*20%)+L221</f>
        <v>1590000</v>
      </c>
      <c r="N221" s="1502" t="s">
        <v>98</v>
      </c>
      <c r="O221" s="1502" t="s">
        <v>100</v>
      </c>
      <c r="P221" s="1502" t="s">
        <v>100</v>
      </c>
    </row>
    <row r="222" spans="1:16" ht="27" customHeight="1">
      <c r="A222" s="1500" t="s">
        <v>48</v>
      </c>
      <c r="B222" s="1500" t="s">
        <v>125</v>
      </c>
      <c r="C222" s="1501" t="s">
        <v>223</v>
      </c>
      <c r="D222" s="1501" t="s">
        <v>61</v>
      </c>
      <c r="E222" s="1527" t="s">
        <v>335</v>
      </c>
      <c r="F222" s="1501" t="s">
        <v>127</v>
      </c>
      <c r="G222" s="1500" t="s">
        <v>34</v>
      </c>
      <c r="H222" s="1519" t="s">
        <v>690</v>
      </c>
      <c r="I222" s="1515">
        <v>45078</v>
      </c>
      <c r="J222" s="1516">
        <v>48</v>
      </c>
      <c r="K222" s="1516" t="s">
        <v>298</v>
      </c>
      <c r="L222" s="653">
        <v>1500000</v>
      </c>
      <c r="M222" s="653">
        <f>SUM(L222*20%)+L222</f>
        <v>1800000</v>
      </c>
      <c r="N222" s="1502" t="s">
        <v>691</v>
      </c>
      <c r="O222" s="1502" t="s">
        <v>41</v>
      </c>
      <c r="P222" s="1502" t="s">
        <v>125</v>
      </c>
    </row>
    <row r="223" spans="1:16" ht="27" customHeight="1">
      <c r="A223" s="1500" t="s">
        <v>48</v>
      </c>
      <c r="B223" s="1500" t="s">
        <v>125</v>
      </c>
      <c r="C223" s="1501" t="s">
        <v>29</v>
      </c>
      <c r="D223" s="1501" t="s">
        <v>31</v>
      </c>
      <c r="E223" s="1527" t="s">
        <v>32</v>
      </c>
      <c r="F223" s="1501" t="s">
        <v>49</v>
      </c>
      <c r="G223" s="1500" t="s">
        <v>34</v>
      </c>
      <c r="H223" s="1520" t="s">
        <v>693</v>
      </c>
      <c r="I223" s="1515">
        <v>45383</v>
      </c>
      <c r="J223" s="1516" t="s">
        <v>125</v>
      </c>
      <c r="K223" s="1516" t="s">
        <v>125</v>
      </c>
      <c r="L223" s="653">
        <v>1500000</v>
      </c>
      <c r="M223" s="653">
        <f>SUM(L223*20%)+L223</f>
        <v>1800000</v>
      </c>
      <c r="N223" s="1502" t="s">
        <v>35</v>
      </c>
      <c r="O223" s="1502" t="s">
        <v>144</v>
      </c>
      <c r="P223" s="1502" t="s">
        <v>125</v>
      </c>
    </row>
    <row r="224" spans="1:16" ht="27" customHeight="1">
      <c r="A224" s="1501" t="s">
        <v>48</v>
      </c>
      <c r="B224" s="1501" t="s">
        <v>35</v>
      </c>
      <c r="C224" s="1498" t="s">
        <v>223</v>
      </c>
      <c r="D224" s="1498" t="s">
        <v>31</v>
      </c>
      <c r="E224" s="1499" t="s">
        <v>32</v>
      </c>
      <c r="F224" s="1498" t="s">
        <v>49</v>
      </c>
      <c r="G224" s="1498" t="s">
        <v>34</v>
      </c>
      <c r="H224" s="1523" t="s">
        <v>694</v>
      </c>
      <c r="I224" s="1513">
        <v>45078</v>
      </c>
      <c r="J224" s="1526">
        <v>7</v>
      </c>
      <c r="K224" s="1526" t="s">
        <v>125</v>
      </c>
      <c r="L224" s="653">
        <v>1511000</v>
      </c>
      <c r="M224" s="653">
        <f>SUM(L224*20%)+L224</f>
        <v>1813200</v>
      </c>
      <c r="N224" s="1498" t="s">
        <v>129</v>
      </c>
      <c r="O224" s="1498" t="s">
        <v>35</v>
      </c>
      <c r="P224" s="1498" t="s">
        <v>35</v>
      </c>
    </row>
    <row r="225" spans="1:16" ht="27" customHeight="1">
      <c r="A225" s="1501" t="s">
        <v>48</v>
      </c>
      <c r="B225" s="1501" t="s">
        <v>35</v>
      </c>
      <c r="C225" s="1534" t="s">
        <v>214</v>
      </c>
      <c r="D225" s="1498" t="s">
        <v>31</v>
      </c>
      <c r="E225" s="1499" t="s">
        <v>32</v>
      </c>
      <c r="F225" s="1498" t="s">
        <v>49</v>
      </c>
      <c r="G225" s="1498" t="s">
        <v>34</v>
      </c>
      <c r="H225" s="1499" t="s">
        <v>695</v>
      </c>
      <c r="I225" s="1513">
        <v>45200</v>
      </c>
      <c r="J225" s="1526">
        <f>24+12+12</f>
        <v>48</v>
      </c>
      <c r="K225" s="1535" t="s">
        <v>191</v>
      </c>
      <c r="L225" s="653">
        <f>426487*4</f>
        <v>1705948</v>
      </c>
      <c r="M225" s="653">
        <f>SUM(L225*20%)+L225</f>
        <v>2047137.6</v>
      </c>
      <c r="N225" s="1498" t="s">
        <v>163</v>
      </c>
      <c r="O225" s="1498" t="s">
        <v>35</v>
      </c>
      <c r="P225" s="1498" t="s">
        <v>35</v>
      </c>
    </row>
    <row r="226" spans="1:16" ht="27" customHeight="1">
      <c r="A226" s="1500" t="s">
        <v>48</v>
      </c>
      <c r="B226" s="1500" t="s">
        <v>125</v>
      </c>
      <c r="C226" s="1501" t="s">
        <v>60</v>
      </c>
      <c r="D226" s="1498" t="s">
        <v>61</v>
      </c>
      <c r="E226" s="1527" t="s">
        <v>170</v>
      </c>
      <c r="F226" s="1501" t="s">
        <v>483</v>
      </c>
      <c r="G226" s="1500" t="s">
        <v>34</v>
      </c>
      <c r="H226" s="1519" t="s">
        <v>696</v>
      </c>
      <c r="I226" s="1515">
        <v>45261</v>
      </c>
      <c r="J226" s="1516">
        <v>48</v>
      </c>
      <c r="K226" s="1516" t="s">
        <v>697</v>
      </c>
      <c r="L226" s="653">
        <f>(138000+160000+130000)*4</f>
        <v>1712000</v>
      </c>
      <c r="M226" s="653">
        <f>SUM(L226*20%)+L226</f>
        <v>2054400</v>
      </c>
      <c r="N226" s="1498" t="s">
        <v>98</v>
      </c>
      <c r="O226" s="1502" t="s">
        <v>144</v>
      </c>
      <c r="P226" s="1502" t="s">
        <v>125</v>
      </c>
    </row>
    <row r="227" spans="1:16" ht="27" customHeight="1">
      <c r="A227" s="1500" t="s">
        <v>48</v>
      </c>
      <c r="B227" s="1500" t="s">
        <v>125</v>
      </c>
      <c r="C227" s="1529" t="s">
        <v>214</v>
      </c>
      <c r="D227" s="1498" t="s">
        <v>31</v>
      </c>
      <c r="E227" s="1499" t="s">
        <v>32</v>
      </c>
      <c r="F227" s="1501" t="s">
        <v>49</v>
      </c>
      <c r="G227" s="1500" t="s">
        <v>34</v>
      </c>
      <c r="H227" s="1519" t="s">
        <v>656</v>
      </c>
      <c r="I227" s="1515">
        <v>45066</v>
      </c>
      <c r="J227" s="1516">
        <v>48</v>
      </c>
      <c r="K227" s="1516" t="s">
        <v>167</v>
      </c>
      <c r="L227" s="653">
        <v>1860000</v>
      </c>
      <c r="M227" s="653">
        <f>SUM(L227*20%)+L227</f>
        <v>2232000</v>
      </c>
      <c r="N227" s="1502" t="s">
        <v>98</v>
      </c>
      <c r="O227" s="1502" t="s">
        <v>100</v>
      </c>
      <c r="P227" s="1502" t="s">
        <v>100</v>
      </c>
    </row>
    <row r="228" spans="1:16" ht="27" customHeight="1">
      <c r="A228" s="1500" t="s">
        <v>48</v>
      </c>
      <c r="B228" s="1500" t="s">
        <v>125</v>
      </c>
      <c r="C228" s="1529" t="s">
        <v>214</v>
      </c>
      <c r="D228" s="1498" t="s">
        <v>31</v>
      </c>
      <c r="E228" s="1499" t="s">
        <v>32</v>
      </c>
      <c r="F228" s="1501" t="s">
        <v>49</v>
      </c>
      <c r="G228" s="1500" t="s">
        <v>34</v>
      </c>
      <c r="H228" s="1522" t="s">
        <v>570</v>
      </c>
      <c r="I228" s="1515">
        <v>45078</v>
      </c>
      <c r="J228" s="1516">
        <v>48</v>
      </c>
      <c r="K228" s="1516" t="s">
        <v>191</v>
      </c>
      <c r="L228" s="653">
        <v>1900000</v>
      </c>
      <c r="M228" s="653">
        <f>SUM(L228*20%)+L228</f>
        <v>2280000</v>
      </c>
      <c r="N228" s="1502" t="s">
        <v>98</v>
      </c>
      <c r="O228" s="1502" t="s">
        <v>100</v>
      </c>
      <c r="P228" s="1502" t="s">
        <v>100</v>
      </c>
    </row>
    <row r="229" spans="1:16" ht="27" customHeight="1">
      <c r="A229" s="1500" t="s">
        <v>48</v>
      </c>
      <c r="B229" s="1500" t="s">
        <v>125</v>
      </c>
      <c r="C229" s="1529" t="s">
        <v>214</v>
      </c>
      <c r="D229" s="1498" t="s">
        <v>31</v>
      </c>
      <c r="E229" s="1499" t="s">
        <v>32</v>
      </c>
      <c r="F229" s="1501" t="s">
        <v>49</v>
      </c>
      <c r="G229" s="1500" t="s">
        <v>34</v>
      </c>
      <c r="H229" s="1519" t="s">
        <v>642</v>
      </c>
      <c r="I229" s="1515">
        <v>45413</v>
      </c>
      <c r="J229" s="1516">
        <v>60</v>
      </c>
      <c r="K229" s="1516" t="s">
        <v>162</v>
      </c>
      <c r="L229" s="653">
        <v>2000000</v>
      </c>
      <c r="M229" s="653">
        <f>SUM(L229*20%)+L229</f>
        <v>2400000</v>
      </c>
      <c r="N229" s="1502" t="s">
        <v>98</v>
      </c>
      <c r="O229" s="1502" t="s">
        <v>100</v>
      </c>
      <c r="P229" s="1502" t="s">
        <v>100</v>
      </c>
    </row>
    <row r="230" spans="1:16" ht="27" customHeight="1">
      <c r="A230" s="1500" t="s">
        <v>48</v>
      </c>
      <c r="B230" s="1500" t="s">
        <v>125</v>
      </c>
      <c r="C230" s="1501" t="s">
        <v>82</v>
      </c>
      <c r="D230" s="1501" t="s">
        <v>82</v>
      </c>
      <c r="E230" s="1527" t="s">
        <v>32</v>
      </c>
      <c r="F230" s="1501" t="s">
        <v>49</v>
      </c>
      <c r="G230" s="1500" t="s">
        <v>34</v>
      </c>
      <c r="H230" s="1520" t="s">
        <v>731</v>
      </c>
      <c r="I230" s="1515">
        <v>45383</v>
      </c>
      <c r="J230" s="1516" t="s">
        <v>125</v>
      </c>
      <c r="K230" s="1516" t="s">
        <v>125</v>
      </c>
      <c r="L230" s="653">
        <v>2600000</v>
      </c>
      <c r="M230" s="653">
        <f>SUM(L230*20%)+L230</f>
        <v>3120000</v>
      </c>
      <c r="N230" s="1502" t="s">
        <v>35</v>
      </c>
      <c r="O230" s="1502" t="s">
        <v>144</v>
      </c>
      <c r="P230" s="1502" t="s">
        <v>125</v>
      </c>
    </row>
    <row r="231" spans="1:16" ht="27" customHeight="1">
      <c r="A231" s="1500" t="s">
        <v>48</v>
      </c>
      <c r="B231" s="1500" t="s">
        <v>125</v>
      </c>
      <c r="C231" s="1501" t="s">
        <v>82</v>
      </c>
      <c r="D231" s="1501" t="s">
        <v>82</v>
      </c>
      <c r="E231" s="1527" t="s">
        <v>32</v>
      </c>
      <c r="F231" s="1501" t="s">
        <v>49</v>
      </c>
      <c r="G231" s="1500" t="s">
        <v>34</v>
      </c>
      <c r="H231" s="1519" t="s">
        <v>734</v>
      </c>
      <c r="I231" s="1515">
        <v>45108</v>
      </c>
      <c r="J231" s="1516" t="s">
        <v>125</v>
      </c>
      <c r="K231" s="1516" t="s">
        <v>125</v>
      </c>
      <c r="L231" s="653">
        <v>2641000</v>
      </c>
      <c r="M231" s="653">
        <f>SUM(L231*20%)+L231</f>
        <v>3169200</v>
      </c>
      <c r="N231" s="1502" t="s">
        <v>173</v>
      </c>
      <c r="O231" s="1502" t="s">
        <v>144</v>
      </c>
      <c r="P231" s="1502" t="s">
        <v>125</v>
      </c>
    </row>
    <row r="232" spans="1:16" ht="27" customHeight="1">
      <c r="A232" s="1500" t="s">
        <v>48</v>
      </c>
      <c r="B232" s="1500" t="s">
        <v>125</v>
      </c>
      <c r="C232" s="1529" t="s">
        <v>214</v>
      </c>
      <c r="D232" s="1498" t="s">
        <v>31</v>
      </c>
      <c r="E232" s="1499" t="s">
        <v>32</v>
      </c>
      <c r="F232" s="1501" t="s">
        <v>127</v>
      </c>
      <c r="G232" s="1500" t="s">
        <v>34</v>
      </c>
      <c r="H232" s="1519" t="s">
        <v>743</v>
      </c>
      <c r="I232" s="1515">
        <v>44713</v>
      </c>
      <c r="J232" s="1516">
        <v>48</v>
      </c>
      <c r="K232" s="1516">
        <v>48</v>
      </c>
      <c r="L232" s="653">
        <v>2800000</v>
      </c>
      <c r="M232" s="653">
        <f>SUM(L232*20%)+L232</f>
        <v>3360000</v>
      </c>
      <c r="N232" s="1502" t="s">
        <v>46</v>
      </c>
      <c r="O232" s="1502" t="s">
        <v>43</v>
      </c>
      <c r="P232" s="1502" t="s">
        <v>100</v>
      </c>
    </row>
    <row r="233" spans="1:16" ht="27" customHeight="1">
      <c r="A233" s="1501" t="s">
        <v>48</v>
      </c>
      <c r="B233" s="1501" t="s">
        <v>35</v>
      </c>
      <c r="C233" s="1498" t="s">
        <v>223</v>
      </c>
      <c r="D233" s="1498" t="s">
        <v>31</v>
      </c>
      <c r="E233" s="1499" t="s">
        <v>32</v>
      </c>
      <c r="F233" s="1498" t="s">
        <v>49</v>
      </c>
      <c r="G233" s="1498" t="s">
        <v>34</v>
      </c>
      <c r="H233" s="1499" t="s">
        <v>752</v>
      </c>
      <c r="I233" s="1513">
        <v>45108</v>
      </c>
      <c r="J233" s="1526">
        <v>1</v>
      </c>
      <c r="K233" s="1526">
        <v>1</v>
      </c>
      <c r="L233" s="653">
        <v>2877000</v>
      </c>
      <c r="M233" s="653">
        <f>SUM(L233*20%)+L233</f>
        <v>3452400</v>
      </c>
      <c r="N233" s="1497" t="s">
        <v>129</v>
      </c>
      <c r="O233" s="1498" t="s">
        <v>100</v>
      </c>
      <c r="P233" s="1498" t="s">
        <v>35</v>
      </c>
    </row>
    <row r="234" spans="1:16" ht="27" customHeight="1">
      <c r="A234" s="1500" t="s">
        <v>48</v>
      </c>
      <c r="B234" s="1500" t="s">
        <v>125</v>
      </c>
      <c r="C234" s="1501" t="s">
        <v>29</v>
      </c>
      <c r="D234" s="1501" t="s">
        <v>31</v>
      </c>
      <c r="E234" s="1527" t="s">
        <v>32</v>
      </c>
      <c r="F234" s="1501" t="s">
        <v>165</v>
      </c>
      <c r="G234" s="1498" t="s">
        <v>34</v>
      </c>
      <c r="H234" s="1499" t="s">
        <v>755</v>
      </c>
      <c r="I234" s="1502">
        <v>45200</v>
      </c>
      <c r="J234" s="1511">
        <v>48</v>
      </c>
      <c r="K234" s="1511">
        <v>48</v>
      </c>
      <c r="L234" s="653">
        <f>773729*4</f>
        <v>3094916</v>
      </c>
      <c r="M234" s="653">
        <f>SUM(L234*20%)+L234</f>
        <v>3713899.2</v>
      </c>
      <c r="N234" s="1502" t="s">
        <v>35</v>
      </c>
      <c r="O234" s="1502" t="s">
        <v>144</v>
      </c>
      <c r="P234" s="1502" t="s">
        <v>125</v>
      </c>
    </row>
    <row r="235" spans="1:16" ht="27" customHeight="1">
      <c r="A235" s="1509" t="s">
        <v>48</v>
      </c>
      <c r="B235" s="1501" t="s">
        <v>35</v>
      </c>
      <c r="C235" s="1554" t="s">
        <v>60</v>
      </c>
      <c r="D235" s="1498" t="s">
        <v>61</v>
      </c>
      <c r="E235" s="1499" t="s">
        <v>32</v>
      </c>
      <c r="F235" s="1501" t="s">
        <v>127</v>
      </c>
      <c r="G235" s="1498" t="s">
        <v>34</v>
      </c>
      <c r="H235" s="1499" t="s">
        <v>764</v>
      </c>
      <c r="I235" s="1502" t="s">
        <v>125</v>
      </c>
      <c r="J235" s="1556" t="s">
        <v>125</v>
      </c>
      <c r="K235" s="1556">
        <v>3</v>
      </c>
      <c r="L235" s="653">
        <v>3500000</v>
      </c>
      <c r="M235" s="653">
        <f>SUM(L235*20%)+L235</f>
        <v>4200000</v>
      </c>
      <c r="N235" s="1533" t="s">
        <v>35</v>
      </c>
      <c r="O235" s="1556" t="s">
        <v>100</v>
      </c>
      <c r="P235" s="1556" t="s">
        <v>100</v>
      </c>
    </row>
    <row r="236" spans="1:16" ht="27" customHeight="1">
      <c r="A236" s="1500" t="s">
        <v>48</v>
      </c>
      <c r="B236" s="1500" t="s">
        <v>125</v>
      </c>
      <c r="C236" s="1529" t="s">
        <v>214</v>
      </c>
      <c r="D236" s="1498" t="s">
        <v>61</v>
      </c>
      <c r="E236" s="1499" t="s">
        <v>335</v>
      </c>
      <c r="F236" s="1501" t="s">
        <v>49</v>
      </c>
      <c r="G236" s="1500" t="s">
        <v>34</v>
      </c>
      <c r="H236" s="1519" t="s">
        <v>765</v>
      </c>
      <c r="I236" s="1515">
        <v>45078</v>
      </c>
      <c r="J236" s="1516" t="s">
        <v>125</v>
      </c>
      <c r="K236" s="1516" t="s">
        <v>125</v>
      </c>
      <c r="L236" s="653">
        <f>895000*4</f>
        <v>3580000</v>
      </c>
      <c r="M236" s="653">
        <f>SUM(L236*20%)+L236</f>
        <v>4296000</v>
      </c>
      <c r="N236" s="1502" t="s">
        <v>35</v>
      </c>
      <c r="O236" s="1502" t="s">
        <v>100</v>
      </c>
      <c r="P236" s="1502" t="s">
        <v>100</v>
      </c>
    </row>
    <row r="237" spans="1:16" ht="27" customHeight="1">
      <c r="A237" s="1500" t="s">
        <v>48</v>
      </c>
      <c r="B237" s="1500" t="s">
        <v>125</v>
      </c>
      <c r="C237" s="1501" t="s">
        <v>82</v>
      </c>
      <c r="D237" s="1501" t="s">
        <v>82</v>
      </c>
      <c r="E237" s="1527" t="s">
        <v>32</v>
      </c>
      <c r="F237" s="1501" t="s">
        <v>49</v>
      </c>
      <c r="G237" s="1500" t="s">
        <v>34</v>
      </c>
      <c r="H237" s="1519" t="s">
        <v>773</v>
      </c>
      <c r="I237" s="1515" t="s">
        <v>125</v>
      </c>
      <c r="J237" s="1516" t="s">
        <v>125</v>
      </c>
      <c r="K237" s="1516" t="s">
        <v>125</v>
      </c>
      <c r="L237" s="653">
        <v>4000000</v>
      </c>
      <c r="M237" s="653">
        <f>SUM(L237*20%)+L237</f>
        <v>4800000</v>
      </c>
      <c r="N237" s="1502" t="s">
        <v>98</v>
      </c>
      <c r="O237" s="1502" t="s">
        <v>144</v>
      </c>
      <c r="P237" s="1502" t="s">
        <v>125</v>
      </c>
    </row>
    <row r="238" spans="1:16" ht="27" customHeight="1">
      <c r="A238" s="1500" t="s">
        <v>48</v>
      </c>
      <c r="B238" s="1500" t="s">
        <v>125</v>
      </c>
      <c r="C238" s="1501" t="s">
        <v>29</v>
      </c>
      <c r="D238" s="1501" t="s">
        <v>31</v>
      </c>
      <c r="E238" s="1527" t="s">
        <v>32</v>
      </c>
      <c r="F238" s="1501" t="s">
        <v>49</v>
      </c>
      <c r="G238" s="1498" t="s">
        <v>34</v>
      </c>
      <c r="H238" s="1520" t="s">
        <v>775</v>
      </c>
      <c r="I238" s="1502">
        <v>45383</v>
      </c>
      <c r="J238" s="1511">
        <v>48</v>
      </c>
      <c r="K238" s="1511">
        <v>48</v>
      </c>
      <c r="L238" s="653">
        <v>4000000</v>
      </c>
      <c r="M238" s="653">
        <f>SUM(L238*20%)+L238</f>
        <v>4800000</v>
      </c>
      <c r="N238" s="1502" t="s">
        <v>98</v>
      </c>
      <c r="O238" s="1502" t="s">
        <v>144</v>
      </c>
      <c r="P238" s="1502" t="s">
        <v>125</v>
      </c>
    </row>
    <row r="239" spans="1:16" ht="27" customHeight="1">
      <c r="A239" s="1500" t="s">
        <v>48</v>
      </c>
      <c r="B239" s="1500" t="s">
        <v>125</v>
      </c>
      <c r="C239" s="1529" t="s">
        <v>214</v>
      </c>
      <c r="D239" s="1498" t="s">
        <v>31</v>
      </c>
      <c r="E239" s="1499" t="s">
        <v>32</v>
      </c>
      <c r="F239" s="1501" t="s">
        <v>49</v>
      </c>
      <c r="G239" s="1500" t="s">
        <v>34</v>
      </c>
      <c r="H239" s="1520" t="s">
        <v>776</v>
      </c>
      <c r="I239" s="1515" t="s">
        <v>125</v>
      </c>
      <c r="J239" s="1516">
        <v>12</v>
      </c>
      <c r="K239" s="1516">
        <v>12</v>
      </c>
      <c r="L239" s="653">
        <v>4000000</v>
      </c>
      <c r="M239" s="653">
        <f>SUM(L239*20%)+L239</f>
        <v>4800000</v>
      </c>
      <c r="N239" s="1502" t="s">
        <v>46</v>
      </c>
      <c r="O239" s="1502" t="s">
        <v>100</v>
      </c>
      <c r="P239" s="1502" t="s">
        <v>100</v>
      </c>
    </row>
    <row r="240" spans="1:16" ht="27" customHeight="1">
      <c r="A240" s="1500" t="s">
        <v>48</v>
      </c>
      <c r="B240" s="1500" t="s">
        <v>125</v>
      </c>
      <c r="C240" s="1529" t="s">
        <v>214</v>
      </c>
      <c r="D240" s="1498" t="s">
        <v>31</v>
      </c>
      <c r="E240" s="1499" t="s">
        <v>32</v>
      </c>
      <c r="F240" s="1501" t="s">
        <v>49</v>
      </c>
      <c r="G240" s="1500" t="s">
        <v>34</v>
      </c>
      <c r="H240" s="1519" t="s">
        <v>780</v>
      </c>
      <c r="I240" s="1515">
        <v>45809</v>
      </c>
      <c r="J240" s="1516">
        <v>48</v>
      </c>
      <c r="K240" s="1516">
        <v>48</v>
      </c>
      <c r="L240" s="653">
        <v>4400000</v>
      </c>
      <c r="M240" s="653">
        <f>SUM(L240*20%)+L240</f>
        <v>5280000</v>
      </c>
      <c r="N240" s="1502" t="s">
        <v>98</v>
      </c>
      <c r="O240" s="1502" t="s">
        <v>100</v>
      </c>
      <c r="P240" s="1502" t="s">
        <v>100</v>
      </c>
    </row>
    <row r="241" spans="1:16" ht="27" customHeight="1">
      <c r="A241" s="1500" t="s">
        <v>48</v>
      </c>
      <c r="B241" s="1500" t="s">
        <v>125</v>
      </c>
      <c r="C241" s="1529" t="s">
        <v>214</v>
      </c>
      <c r="D241" s="1501" t="s">
        <v>61</v>
      </c>
      <c r="E241" s="1527" t="s">
        <v>32</v>
      </c>
      <c r="F241" s="1501" t="s">
        <v>127</v>
      </c>
      <c r="G241" s="1500" t="s">
        <v>34</v>
      </c>
      <c r="H241" s="1519" t="s">
        <v>781</v>
      </c>
      <c r="I241" s="1515">
        <v>44973</v>
      </c>
      <c r="J241" s="1516">
        <v>24</v>
      </c>
      <c r="K241" s="1516">
        <v>24</v>
      </c>
      <c r="L241" s="653">
        <v>4700000</v>
      </c>
      <c r="M241" s="653">
        <f>SUM(L241*20%)+L241</f>
        <v>5640000</v>
      </c>
      <c r="N241" s="1502" t="s">
        <v>46</v>
      </c>
      <c r="O241" s="1502" t="s">
        <v>43</v>
      </c>
      <c r="P241" s="1502" t="s">
        <v>100</v>
      </c>
    </row>
    <row r="242" spans="1:16" ht="27" customHeight="1">
      <c r="A242" s="1500" t="s">
        <v>48</v>
      </c>
      <c r="B242" s="1500" t="s">
        <v>125</v>
      </c>
      <c r="C242" s="1501" t="s">
        <v>29</v>
      </c>
      <c r="D242" s="1501" t="s">
        <v>31</v>
      </c>
      <c r="E242" s="1527" t="s">
        <v>32</v>
      </c>
      <c r="F242" s="1501" t="s">
        <v>49</v>
      </c>
      <c r="G242" s="1500" t="s">
        <v>34</v>
      </c>
      <c r="H242" s="1519" t="s">
        <v>783</v>
      </c>
      <c r="I242" s="1515" t="s">
        <v>125</v>
      </c>
      <c r="J242" s="1516">
        <v>3</v>
      </c>
      <c r="K242" s="1516">
        <v>3</v>
      </c>
      <c r="L242" s="653">
        <v>4920000</v>
      </c>
      <c r="M242" s="653">
        <f>SUM(L242*20%)+L242</f>
        <v>5904000</v>
      </c>
      <c r="N242" s="1502" t="s">
        <v>98</v>
      </c>
      <c r="O242" s="1502" t="s">
        <v>125</v>
      </c>
      <c r="P242" s="1502" t="s">
        <v>125</v>
      </c>
    </row>
    <row r="243" spans="1:16" ht="27" customHeight="1">
      <c r="A243" s="1500" t="s">
        <v>48</v>
      </c>
      <c r="B243" s="1500" t="s">
        <v>125</v>
      </c>
      <c r="C243" s="1501" t="s">
        <v>82</v>
      </c>
      <c r="D243" s="1501" t="s">
        <v>82</v>
      </c>
      <c r="E243" s="1527" t="s">
        <v>32</v>
      </c>
      <c r="F243" s="1501" t="s">
        <v>49</v>
      </c>
      <c r="G243" s="1500" t="s">
        <v>34</v>
      </c>
      <c r="H243" s="1519" t="s">
        <v>787</v>
      </c>
      <c r="I243" s="1515" t="s">
        <v>125</v>
      </c>
      <c r="J243" s="1516">
        <v>12</v>
      </c>
      <c r="K243" s="1516">
        <v>12</v>
      </c>
      <c r="L243" s="653">
        <v>5000000</v>
      </c>
      <c r="M243" s="653">
        <f>SUM(L243*20%)+L243</f>
        <v>6000000</v>
      </c>
      <c r="N243" s="1502" t="s">
        <v>98</v>
      </c>
      <c r="O243" s="1502" t="s">
        <v>144</v>
      </c>
      <c r="P243" s="1502" t="s">
        <v>125</v>
      </c>
    </row>
    <row r="244" spans="1:16" ht="27" customHeight="1">
      <c r="A244" s="1500" t="s">
        <v>48</v>
      </c>
      <c r="B244" s="1500" t="s">
        <v>125</v>
      </c>
      <c r="C244" s="1501" t="s">
        <v>223</v>
      </c>
      <c r="D244" s="1498" t="s">
        <v>61</v>
      </c>
      <c r="E244" s="1527" t="s">
        <v>126</v>
      </c>
      <c r="F244" s="1501" t="s">
        <v>127</v>
      </c>
      <c r="G244" s="1500" t="s">
        <v>34</v>
      </c>
      <c r="H244" s="1519" t="s">
        <v>788</v>
      </c>
      <c r="I244" s="1515" t="s">
        <v>789</v>
      </c>
      <c r="J244" s="1516">
        <v>12</v>
      </c>
      <c r="K244" s="1516">
        <v>12</v>
      </c>
      <c r="L244" s="653">
        <v>5000000</v>
      </c>
      <c r="M244" s="653">
        <f>SUM(L244*20%)+L244</f>
        <v>6000000</v>
      </c>
      <c r="N244" s="1502" t="s">
        <v>46</v>
      </c>
      <c r="O244" s="1502" t="s">
        <v>144</v>
      </c>
      <c r="P244" s="1502" t="s">
        <v>188</v>
      </c>
    </row>
    <row r="245" spans="1:16" ht="27" customHeight="1">
      <c r="A245" s="1500" t="s">
        <v>48</v>
      </c>
      <c r="B245" s="1500">
        <v>62168</v>
      </c>
      <c r="C245" s="1501" t="s">
        <v>82</v>
      </c>
      <c r="D245" s="1501" t="s">
        <v>82</v>
      </c>
      <c r="E245" s="1527" t="s">
        <v>32</v>
      </c>
      <c r="F245" s="1501" t="s">
        <v>49</v>
      </c>
      <c r="G245" s="1500" t="s">
        <v>34</v>
      </c>
      <c r="H245" s="1519" t="s">
        <v>793</v>
      </c>
      <c r="I245" s="1515">
        <v>45170</v>
      </c>
      <c r="J245" s="1516">
        <v>12</v>
      </c>
      <c r="K245" s="1516">
        <v>12</v>
      </c>
      <c r="L245" s="653">
        <v>5230000</v>
      </c>
      <c r="M245" s="653">
        <f>SUM(L245*20%)+L245</f>
        <v>6276000</v>
      </c>
      <c r="N245" s="1502" t="s">
        <v>98</v>
      </c>
      <c r="O245" s="1502" t="s">
        <v>144</v>
      </c>
      <c r="P245" s="1502" t="s">
        <v>125</v>
      </c>
    </row>
    <row r="246" spans="1:16" ht="27" customHeight="1">
      <c r="A246" s="1500" t="s">
        <v>48</v>
      </c>
      <c r="B246" s="1500" t="s">
        <v>125</v>
      </c>
      <c r="C246" s="1501" t="s">
        <v>82</v>
      </c>
      <c r="D246" s="1501" t="s">
        <v>82</v>
      </c>
      <c r="E246" s="1527" t="s">
        <v>32</v>
      </c>
      <c r="F246" s="1501" t="s">
        <v>49</v>
      </c>
      <c r="G246" s="1500" t="s">
        <v>34</v>
      </c>
      <c r="H246" s="1520" t="s">
        <v>794</v>
      </c>
      <c r="I246" s="1515">
        <v>45170</v>
      </c>
      <c r="J246" s="1516">
        <v>12</v>
      </c>
      <c r="K246" s="1516">
        <v>12</v>
      </c>
      <c r="L246" s="653">
        <v>5517000</v>
      </c>
      <c r="M246" s="653">
        <f>SUM(L246*20%)+L246</f>
        <v>6620400</v>
      </c>
      <c r="N246" s="1502" t="s">
        <v>98</v>
      </c>
      <c r="O246" s="1502" t="s">
        <v>144</v>
      </c>
      <c r="P246" s="1502" t="s">
        <v>125</v>
      </c>
    </row>
    <row r="247" spans="1:16" ht="27" customHeight="1">
      <c r="A247" s="1500" t="s">
        <v>48</v>
      </c>
      <c r="B247" s="1500" t="s">
        <v>125</v>
      </c>
      <c r="C247" s="1501" t="s">
        <v>105</v>
      </c>
      <c r="D247" s="1501" t="s">
        <v>31</v>
      </c>
      <c r="E247" s="1527" t="s">
        <v>32</v>
      </c>
      <c r="F247" s="1501" t="s">
        <v>165</v>
      </c>
      <c r="G247" s="1498" t="s">
        <v>34</v>
      </c>
      <c r="H247" s="1499" t="s">
        <v>795</v>
      </c>
      <c r="I247" s="1502">
        <v>45017</v>
      </c>
      <c r="J247" s="1511">
        <v>48</v>
      </c>
      <c r="K247" s="1511" t="s">
        <v>125</v>
      </c>
      <c r="L247" s="653">
        <f>4*1400000</f>
        <v>5600000</v>
      </c>
      <c r="M247" s="653">
        <f>SUM(L247*20%)+L247</f>
        <v>6720000</v>
      </c>
      <c r="N247" s="1502" t="s">
        <v>98</v>
      </c>
      <c r="O247" s="1502" t="s">
        <v>144</v>
      </c>
      <c r="P247" s="1502" t="s">
        <v>125</v>
      </c>
    </row>
    <row r="248" spans="1:16" ht="27" customHeight="1">
      <c r="A248" s="1500" t="s">
        <v>48</v>
      </c>
      <c r="B248" s="1501" t="s">
        <v>125</v>
      </c>
      <c r="C248" s="1501" t="s">
        <v>82</v>
      </c>
      <c r="D248" s="1501" t="s">
        <v>82</v>
      </c>
      <c r="E248" s="1527" t="s">
        <v>32</v>
      </c>
      <c r="F248" s="1501" t="s">
        <v>49</v>
      </c>
      <c r="G248" s="1498" t="s">
        <v>34</v>
      </c>
      <c r="H248" s="1499" t="s">
        <v>799</v>
      </c>
      <c r="I248" s="1502">
        <v>45505</v>
      </c>
      <c r="J248" s="1511">
        <v>12</v>
      </c>
      <c r="K248" s="1498">
        <v>12</v>
      </c>
      <c r="L248" s="653">
        <v>6000000</v>
      </c>
      <c r="M248" s="653">
        <f>SUM(L248*20%)+L248</f>
        <v>7200000</v>
      </c>
      <c r="N248" s="1502" t="s">
        <v>98</v>
      </c>
      <c r="O248" s="1502" t="s">
        <v>144</v>
      </c>
      <c r="P248" s="1501" t="s">
        <v>125</v>
      </c>
    </row>
    <row r="249" spans="1:16" ht="27" customHeight="1">
      <c r="A249" s="1500" t="s">
        <v>48</v>
      </c>
      <c r="B249" s="1501" t="s">
        <v>125</v>
      </c>
      <c r="C249" s="1501" t="s">
        <v>800</v>
      </c>
      <c r="D249" s="1501" t="s">
        <v>82</v>
      </c>
      <c r="E249" s="1527" t="s">
        <v>32</v>
      </c>
      <c r="F249" s="1501" t="s">
        <v>49</v>
      </c>
      <c r="G249" s="1498" t="s">
        <v>34</v>
      </c>
      <c r="H249" s="1499" t="s">
        <v>801</v>
      </c>
      <c r="I249" s="1502">
        <v>46235</v>
      </c>
      <c r="J249" s="1511">
        <v>12</v>
      </c>
      <c r="K249" s="1498">
        <v>12</v>
      </c>
      <c r="L249" s="653">
        <v>6000000</v>
      </c>
      <c r="M249" s="653">
        <f>SUM(L249*20%)+L249</f>
        <v>7200000</v>
      </c>
      <c r="N249" s="1502" t="s">
        <v>98</v>
      </c>
      <c r="O249" s="1502" t="s">
        <v>144</v>
      </c>
      <c r="P249" s="1501" t="s">
        <v>125</v>
      </c>
    </row>
    <row r="250" spans="1:16" ht="27" customHeight="1">
      <c r="A250" s="1500" t="s">
        <v>48</v>
      </c>
      <c r="B250" s="1500" t="s">
        <v>125</v>
      </c>
      <c r="C250" s="1501" t="s">
        <v>60</v>
      </c>
      <c r="D250" s="1498" t="s">
        <v>61</v>
      </c>
      <c r="E250" s="1527" t="s">
        <v>126</v>
      </c>
      <c r="F250" s="1501" t="s">
        <v>127</v>
      </c>
      <c r="G250" s="1498" t="s">
        <v>34</v>
      </c>
      <c r="H250" s="1520" t="s">
        <v>804</v>
      </c>
      <c r="I250" s="1502">
        <v>45108</v>
      </c>
      <c r="J250" s="1511" t="s">
        <v>125</v>
      </c>
      <c r="K250" s="1511" t="s">
        <v>125</v>
      </c>
      <c r="L250" s="653">
        <v>6000000</v>
      </c>
      <c r="M250" s="653">
        <f>SUM(L250*20%)+L250</f>
        <v>7200000</v>
      </c>
      <c r="N250" s="1502" t="s">
        <v>98</v>
      </c>
      <c r="O250" s="1502" t="s">
        <v>144</v>
      </c>
      <c r="P250" s="1502" t="s">
        <v>125</v>
      </c>
    </row>
    <row r="251" spans="1:16" ht="27" customHeight="1">
      <c r="A251" s="1500" t="s">
        <v>48</v>
      </c>
      <c r="B251" s="1500" t="s">
        <v>125</v>
      </c>
      <c r="C251" s="1529" t="s">
        <v>214</v>
      </c>
      <c r="D251" s="1498" t="s">
        <v>31</v>
      </c>
      <c r="E251" s="1499" t="s">
        <v>32</v>
      </c>
      <c r="F251" s="1501" t="s">
        <v>49</v>
      </c>
      <c r="G251" s="1500" t="s">
        <v>34</v>
      </c>
      <c r="H251" s="1519" t="s">
        <v>810</v>
      </c>
      <c r="I251" s="1515">
        <v>45809</v>
      </c>
      <c r="J251" s="1516">
        <v>48</v>
      </c>
      <c r="K251" s="1516">
        <v>48</v>
      </c>
      <c r="L251" s="653">
        <v>6200000</v>
      </c>
      <c r="M251" s="653">
        <f>IF(ISNUMBER(L251),(SUM(L251*20%)+L251),"")</f>
        <v>7440000</v>
      </c>
      <c r="N251" s="1502" t="s">
        <v>98</v>
      </c>
      <c r="O251" s="1502" t="s">
        <v>100</v>
      </c>
      <c r="P251" s="1502" t="s">
        <v>100</v>
      </c>
    </row>
    <row r="252" spans="1:16" ht="27" customHeight="1">
      <c r="A252" s="1500" t="s">
        <v>48</v>
      </c>
      <c r="B252" s="1500" t="s">
        <v>125</v>
      </c>
      <c r="C252" s="1501" t="s">
        <v>223</v>
      </c>
      <c r="D252" s="1498" t="s">
        <v>61</v>
      </c>
      <c r="E252" s="1527" t="s">
        <v>126</v>
      </c>
      <c r="F252" s="1501" t="s">
        <v>127</v>
      </c>
      <c r="G252" s="1500" t="s">
        <v>34</v>
      </c>
      <c r="H252" s="1519" t="s">
        <v>812</v>
      </c>
      <c r="I252" s="1515" t="s">
        <v>789</v>
      </c>
      <c r="J252" s="1516">
        <v>12</v>
      </c>
      <c r="K252" s="1516">
        <v>12</v>
      </c>
      <c r="L252" s="653">
        <v>7100000</v>
      </c>
      <c r="M252" s="653">
        <f>SUM(L252*20%)+L252</f>
        <v>8520000</v>
      </c>
      <c r="N252" s="1502" t="s">
        <v>46</v>
      </c>
      <c r="O252" s="1502" t="s">
        <v>144</v>
      </c>
      <c r="P252" s="1502" t="s">
        <v>188</v>
      </c>
    </row>
    <row r="253" spans="1:16" ht="27" customHeight="1">
      <c r="A253" s="1500" t="s">
        <v>48</v>
      </c>
      <c r="B253" s="1500" t="s">
        <v>125</v>
      </c>
      <c r="C253" s="1501" t="s">
        <v>223</v>
      </c>
      <c r="D253" s="1498" t="s">
        <v>61</v>
      </c>
      <c r="E253" s="1527" t="s">
        <v>126</v>
      </c>
      <c r="F253" s="1501" t="s">
        <v>127</v>
      </c>
      <c r="G253" s="1500" t="s">
        <v>34</v>
      </c>
      <c r="H253" s="1519" t="s">
        <v>813</v>
      </c>
      <c r="I253" s="1515" t="s">
        <v>789</v>
      </c>
      <c r="J253" s="1516">
        <v>12</v>
      </c>
      <c r="K253" s="1516">
        <v>12</v>
      </c>
      <c r="L253" s="653">
        <v>8000000</v>
      </c>
      <c r="M253" s="653">
        <f>SUM(L253*20%)+L253</f>
        <v>9600000</v>
      </c>
      <c r="N253" s="1502" t="s">
        <v>46</v>
      </c>
      <c r="O253" s="1502" t="s">
        <v>144</v>
      </c>
      <c r="P253" s="1502" t="s">
        <v>188</v>
      </c>
    </row>
    <row r="254" spans="1:16" ht="27" customHeight="1">
      <c r="A254" s="1500" t="s">
        <v>48</v>
      </c>
      <c r="B254" s="1500" t="s">
        <v>125</v>
      </c>
      <c r="C254" s="1501" t="s">
        <v>223</v>
      </c>
      <c r="D254" s="1498" t="s">
        <v>61</v>
      </c>
      <c r="E254" s="1527" t="s">
        <v>126</v>
      </c>
      <c r="F254" s="1501" t="s">
        <v>127</v>
      </c>
      <c r="G254" s="1500" t="s">
        <v>34</v>
      </c>
      <c r="H254" s="1519" t="s">
        <v>820</v>
      </c>
      <c r="I254" s="1515" t="s">
        <v>789</v>
      </c>
      <c r="J254" s="1516">
        <v>12</v>
      </c>
      <c r="K254" s="1516">
        <v>12</v>
      </c>
      <c r="L254" s="653">
        <v>12000000</v>
      </c>
      <c r="M254" s="653">
        <f>SUM(L254*20%)+L254</f>
        <v>14400000</v>
      </c>
      <c r="N254" s="1502" t="s">
        <v>46</v>
      </c>
      <c r="O254" s="1502" t="s">
        <v>144</v>
      </c>
      <c r="P254" s="1502" t="s">
        <v>188</v>
      </c>
    </row>
    <row r="255" spans="1:16" ht="27" customHeight="1">
      <c r="A255" s="1500" t="s">
        <v>48</v>
      </c>
      <c r="B255" s="1501" t="s">
        <v>125</v>
      </c>
      <c r="C255" s="1501" t="s">
        <v>82</v>
      </c>
      <c r="D255" s="1501" t="s">
        <v>82</v>
      </c>
      <c r="E255" s="1527" t="s">
        <v>32</v>
      </c>
      <c r="F255" s="1501" t="s">
        <v>49</v>
      </c>
      <c r="G255" s="1498" t="s">
        <v>34</v>
      </c>
      <c r="H255" s="1499" t="s">
        <v>821</v>
      </c>
      <c r="I255" s="1502">
        <v>45870</v>
      </c>
      <c r="J255" s="1511">
        <v>12</v>
      </c>
      <c r="K255" s="1498">
        <v>12</v>
      </c>
      <c r="L255" s="653">
        <v>12000000</v>
      </c>
      <c r="M255" s="653">
        <f>SUM(L255*20%)+L255</f>
        <v>14400000</v>
      </c>
      <c r="N255" s="1502" t="s">
        <v>98</v>
      </c>
      <c r="O255" s="1502" t="s">
        <v>144</v>
      </c>
      <c r="P255" s="1501" t="s">
        <v>125</v>
      </c>
    </row>
    <row r="256" spans="1:16" ht="27" customHeight="1">
      <c r="A256" s="1500" t="s">
        <v>48</v>
      </c>
      <c r="B256" s="1501" t="s">
        <v>125</v>
      </c>
      <c r="C256" s="1501" t="s">
        <v>60</v>
      </c>
      <c r="D256" s="1498" t="s">
        <v>61</v>
      </c>
      <c r="E256" s="1527" t="s">
        <v>126</v>
      </c>
      <c r="F256" s="1501" t="s">
        <v>127</v>
      </c>
      <c r="G256" s="1501" t="s">
        <v>34</v>
      </c>
      <c r="H256" s="1527" t="s">
        <v>822</v>
      </c>
      <c r="I256" s="1525">
        <v>45748</v>
      </c>
      <c r="J256" s="1540" t="s">
        <v>125</v>
      </c>
      <c r="K256" s="1540" t="s">
        <v>125</v>
      </c>
      <c r="L256" s="653">
        <v>15000000</v>
      </c>
      <c r="M256" s="653">
        <f>SUM(L256*20%)+L256</f>
        <v>18000000</v>
      </c>
      <c r="N256" s="1501" t="s">
        <v>98</v>
      </c>
      <c r="O256" s="1501" t="s">
        <v>144</v>
      </c>
      <c r="P256" s="1525" t="s">
        <v>125</v>
      </c>
    </row>
    <row r="257" spans="1:16" ht="27" customHeight="1">
      <c r="A257" s="1509" t="s">
        <v>48</v>
      </c>
      <c r="B257" s="1501" t="s">
        <v>35</v>
      </c>
      <c r="C257" s="1554" t="s">
        <v>60</v>
      </c>
      <c r="D257" s="1498" t="s">
        <v>61</v>
      </c>
      <c r="E257" s="1527" t="s">
        <v>170</v>
      </c>
      <c r="F257" s="1498" t="s">
        <v>483</v>
      </c>
      <c r="G257" s="1498" t="s">
        <v>34</v>
      </c>
      <c r="H257" s="1499" t="s">
        <v>823</v>
      </c>
      <c r="I257" s="1555">
        <v>45870</v>
      </c>
      <c r="J257" s="1556" t="s">
        <v>125</v>
      </c>
      <c r="K257" s="1556" t="s">
        <v>125</v>
      </c>
      <c r="L257" s="653">
        <v>15000000</v>
      </c>
      <c r="M257" s="653">
        <f>SUM(L257*20%)+L257</f>
        <v>18000000</v>
      </c>
      <c r="N257" s="1556" t="s">
        <v>35</v>
      </c>
      <c r="O257" s="1556" t="s">
        <v>824</v>
      </c>
      <c r="P257" s="1556" t="s">
        <v>825</v>
      </c>
    </row>
    <row r="258" spans="1:16" ht="27" customHeight="1">
      <c r="A258" s="1500" t="s">
        <v>48</v>
      </c>
      <c r="B258" s="1500" t="s">
        <v>125</v>
      </c>
      <c r="C258" s="1501" t="s">
        <v>92</v>
      </c>
      <c r="D258" s="1498" t="s">
        <v>92</v>
      </c>
      <c r="E258" s="1527" t="s">
        <v>553</v>
      </c>
      <c r="F258" s="1501" t="s">
        <v>829</v>
      </c>
      <c r="G258" s="1498" t="s">
        <v>34</v>
      </c>
      <c r="H258" s="1499" t="s">
        <v>830</v>
      </c>
      <c r="I258" s="1515" t="s">
        <v>125</v>
      </c>
      <c r="J258" s="1500">
        <v>24</v>
      </c>
      <c r="K258" s="1516">
        <v>24</v>
      </c>
      <c r="L258" s="653">
        <v>17000000</v>
      </c>
      <c r="M258" s="653">
        <f>SUM(L258*20%)+L258</f>
        <v>20400000</v>
      </c>
      <c r="N258" s="690" t="s">
        <v>98</v>
      </c>
      <c r="O258" s="1498" t="s">
        <v>125</v>
      </c>
      <c r="P258" s="1502" t="s">
        <v>125</v>
      </c>
    </row>
    <row r="259" spans="1:16" ht="27" customHeight="1">
      <c r="A259" s="1500" t="s">
        <v>48</v>
      </c>
      <c r="B259" s="1500" t="s">
        <v>125</v>
      </c>
      <c r="C259" s="1501" t="s">
        <v>29</v>
      </c>
      <c r="D259" s="1501" t="s">
        <v>31</v>
      </c>
      <c r="E259" s="1527" t="s">
        <v>32</v>
      </c>
      <c r="F259" s="1501" t="s">
        <v>49</v>
      </c>
      <c r="G259" s="1498" t="s">
        <v>64</v>
      </c>
      <c r="H259" s="1499" t="s">
        <v>831</v>
      </c>
      <c r="I259" s="1502">
        <v>45323</v>
      </c>
      <c r="J259" s="1511">
        <v>48</v>
      </c>
      <c r="K259" s="1497" t="s">
        <v>430</v>
      </c>
      <c r="L259" s="653">
        <v>17020000</v>
      </c>
      <c r="M259" s="653">
        <f>SUM(L259*20%)+L259</f>
        <v>20424000</v>
      </c>
      <c r="N259" s="1502" t="s">
        <v>66</v>
      </c>
      <c r="O259" s="1502" t="s">
        <v>144</v>
      </c>
      <c r="P259" s="1500" t="s">
        <v>125</v>
      </c>
    </row>
    <row r="260" spans="1:16" ht="27" customHeight="1">
      <c r="A260" s="1501" t="s">
        <v>48</v>
      </c>
      <c r="B260" s="1501" t="s">
        <v>35</v>
      </c>
      <c r="C260" s="1498" t="s">
        <v>29</v>
      </c>
      <c r="D260" s="1498" t="s">
        <v>327</v>
      </c>
      <c r="E260" s="1499" t="s">
        <v>373</v>
      </c>
      <c r="F260" s="1498" t="s">
        <v>49</v>
      </c>
      <c r="G260" s="1498" t="s">
        <v>34</v>
      </c>
      <c r="H260" s="1499" t="s">
        <v>832</v>
      </c>
      <c r="I260" s="1513">
        <v>44928</v>
      </c>
      <c r="J260" s="1526">
        <v>36</v>
      </c>
      <c r="K260" s="1526">
        <v>36</v>
      </c>
      <c r="L260" s="653">
        <v>18000000</v>
      </c>
      <c r="M260" s="653">
        <f>SUM(L260*20%)+L260</f>
        <v>21600000</v>
      </c>
      <c r="N260" s="1514" t="s">
        <v>109</v>
      </c>
      <c r="O260" s="1498" t="s">
        <v>700</v>
      </c>
      <c r="P260" s="1502" t="s">
        <v>35</v>
      </c>
    </row>
    <row r="261" spans="1:16" ht="27" customHeight="1">
      <c r="A261" s="1500" t="s">
        <v>48</v>
      </c>
      <c r="B261" s="1500" t="s">
        <v>125</v>
      </c>
      <c r="C261" s="1501" t="s">
        <v>60</v>
      </c>
      <c r="D261" s="1498" t="s">
        <v>61</v>
      </c>
      <c r="E261" s="1527" t="s">
        <v>126</v>
      </c>
      <c r="F261" s="1501" t="s">
        <v>127</v>
      </c>
      <c r="G261" s="1498" t="s">
        <v>34</v>
      </c>
      <c r="H261" s="1520" t="s">
        <v>833</v>
      </c>
      <c r="I261" s="1525" t="s">
        <v>125</v>
      </c>
      <c r="J261" s="1540" t="s">
        <v>125</v>
      </c>
      <c r="K261" s="1540" t="s">
        <v>125</v>
      </c>
      <c r="L261" s="653">
        <v>18000000</v>
      </c>
      <c r="M261" s="653">
        <f>SUM(L261*20%)+L261</f>
        <v>21600000</v>
      </c>
      <c r="N261" s="1540" t="s">
        <v>98</v>
      </c>
      <c r="O261" s="1540" t="s">
        <v>144</v>
      </c>
      <c r="P261" s="1525" t="s">
        <v>125</v>
      </c>
    </row>
    <row r="262" spans="1:16" ht="27" customHeight="1">
      <c r="A262" s="1500" t="s">
        <v>48</v>
      </c>
      <c r="B262" s="1500" t="s">
        <v>125</v>
      </c>
      <c r="C262" s="1501" t="s">
        <v>223</v>
      </c>
      <c r="D262" s="1498" t="s">
        <v>61</v>
      </c>
      <c r="E262" s="1527" t="s">
        <v>126</v>
      </c>
      <c r="F262" s="1501" t="s">
        <v>127</v>
      </c>
      <c r="G262" s="1500" t="s">
        <v>34</v>
      </c>
      <c r="H262" s="1519" t="s">
        <v>835</v>
      </c>
      <c r="I262" s="1515" t="s">
        <v>789</v>
      </c>
      <c r="J262" s="1516">
        <v>12</v>
      </c>
      <c r="K262" s="1516">
        <v>12</v>
      </c>
      <c r="L262" s="653">
        <v>20000000</v>
      </c>
      <c r="M262" s="653">
        <f>SUM(L262*20%)+L262</f>
        <v>24000000</v>
      </c>
      <c r="N262" s="1502" t="s">
        <v>46</v>
      </c>
      <c r="O262" s="1502" t="s">
        <v>144</v>
      </c>
      <c r="P262" s="1502" t="s">
        <v>188</v>
      </c>
    </row>
    <row r="263" spans="1:16" ht="27" customHeight="1">
      <c r="A263" s="1500" t="s">
        <v>48</v>
      </c>
      <c r="B263" s="1500" t="s">
        <v>125</v>
      </c>
      <c r="C263" s="1501" t="s">
        <v>223</v>
      </c>
      <c r="D263" s="1498" t="s">
        <v>61</v>
      </c>
      <c r="E263" s="1527" t="s">
        <v>126</v>
      </c>
      <c r="F263" s="1501" t="s">
        <v>127</v>
      </c>
      <c r="G263" s="1500" t="s">
        <v>34</v>
      </c>
      <c r="H263" s="1519" t="s">
        <v>836</v>
      </c>
      <c r="I263" s="1515" t="s">
        <v>789</v>
      </c>
      <c r="J263" s="1516">
        <v>12</v>
      </c>
      <c r="K263" s="1516">
        <v>12</v>
      </c>
      <c r="L263" s="653">
        <v>20000000</v>
      </c>
      <c r="M263" s="653">
        <f>SUM(L263*20%)+L263</f>
        <v>24000000</v>
      </c>
      <c r="N263" s="1502" t="s">
        <v>46</v>
      </c>
      <c r="O263" s="1502" t="s">
        <v>144</v>
      </c>
      <c r="P263" s="1502" t="s">
        <v>188</v>
      </c>
    </row>
    <row r="264" spans="1:16" ht="27" customHeight="1">
      <c r="A264" s="1501" t="s">
        <v>48</v>
      </c>
      <c r="B264" s="1501" t="s">
        <v>35</v>
      </c>
      <c r="C264" s="1498" t="s">
        <v>60</v>
      </c>
      <c r="D264" s="1498" t="s">
        <v>152</v>
      </c>
      <c r="E264" s="1499" t="s">
        <v>216</v>
      </c>
      <c r="F264" s="1498" t="s">
        <v>49</v>
      </c>
      <c r="G264" s="1498" t="s">
        <v>34</v>
      </c>
      <c r="H264" s="1523" t="s">
        <v>838</v>
      </c>
      <c r="I264" s="1513" t="s">
        <v>125</v>
      </c>
      <c r="J264" s="1526" t="s">
        <v>188</v>
      </c>
      <c r="K264" s="1526" t="s">
        <v>188</v>
      </c>
      <c r="L264" s="653">
        <f>16900000+5400000</f>
        <v>22300000</v>
      </c>
      <c r="M264" s="653">
        <f>SUM(L264*20%)+L264</f>
        <v>26760000</v>
      </c>
      <c r="N264" s="1498" t="s">
        <v>35</v>
      </c>
      <c r="O264" s="1498" t="s">
        <v>35</v>
      </c>
      <c r="P264" s="1498" t="s">
        <v>35</v>
      </c>
    </row>
    <row r="265" spans="1:16" ht="13.8">
      <c r="A265" s="1500" t="s">
        <v>48</v>
      </c>
      <c r="B265" s="1500" t="s">
        <v>125</v>
      </c>
      <c r="C265" s="1501" t="s">
        <v>29</v>
      </c>
      <c r="D265" s="1501" t="s">
        <v>31</v>
      </c>
      <c r="E265" s="1508" t="s">
        <v>32</v>
      </c>
      <c r="F265" s="1501" t="s">
        <v>165</v>
      </c>
      <c r="G265" s="1498" t="s">
        <v>34</v>
      </c>
      <c r="H265" s="1499" t="s">
        <v>843</v>
      </c>
      <c r="I265" s="1502">
        <v>45017</v>
      </c>
      <c r="J265" s="1511">
        <v>48</v>
      </c>
      <c r="K265" s="1511">
        <v>48</v>
      </c>
      <c r="L265" s="653">
        <f>8686755*4</f>
        <v>34747020</v>
      </c>
      <c r="M265" s="653">
        <f>SUM(L265*20%)+L265</f>
        <v>41696424</v>
      </c>
      <c r="N265" s="1502" t="s">
        <v>35</v>
      </c>
      <c r="O265" s="1502" t="s">
        <v>144</v>
      </c>
      <c r="P265" s="1502" t="s">
        <v>125</v>
      </c>
    </row>
    <row r="266" spans="1:16" ht="27" customHeight="1">
      <c r="A266" s="1500" t="s">
        <v>48</v>
      </c>
      <c r="B266" s="1501" t="s">
        <v>125</v>
      </c>
      <c r="C266" s="1501" t="s">
        <v>60</v>
      </c>
      <c r="D266" s="1501" t="s">
        <v>61</v>
      </c>
      <c r="E266" s="1527" t="s">
        <v>335</v>
      </c>
      <c r="F266" s="1501" t="s">
        <v>127</v>
      </c>
      <c r="G266" s="1498" t="s">
        <v>34</v>
      </c>
      <c r="H266" s="1527" t="s">
        <v>849</v>
      </c>
      <c r="I266" s="1502">
        <v>45352</v>
      </c>
      <c r="J266" s="1541" t="s">
        <v>125</v>
      </c>
      <c r="K266" s="1541" t="s">
        <v>125</v>
      </c>
      <c r="L266" s="653">
        <v>41476123</v>
      </c>
      <c r="M266" s="653">
        <f>SUM(L266*20%)+L266</f>
        <v>49771347.600000001</v>
      </c>
      <c r="N266" s="1502" t="s">
        <v>186</v>
      </c>
      <c r="O266" s="1502" t="s">
        <v>144</v>
      </c>
      <c r="P266" s="1501" t="s">
        <v>125</v>
      </c>
    </row>
    <row r="267" spans="1:16" ht="27" customHeight="1">
      <c r="A267" s="1500" t="s">
        <v>48</v>
      </c>
      <c r="B267" s="1500" t="s">
        <v>125</v>
      </c>
      <c r="C267" s="1501" t="s">
        <v>60</v>
      </c>
      <c r="D267" s="1498" t="s">
        <v>61</v>
      </c>
      <c r="E267" s="1527" t="s">
        <v>170</v>
      </c>
      <c r="F267" s="1501" t="s">
        <v>483</v>
      </c>
      <c r="G267" s="1500" t="s">
        <v>64</v>
      </c>
      <c r="H267" s="1519" t="s">
        <v>854</v>
      </c>
      <c r="I267" s="1515">
        <v>45918</v>
      </c>
      <c r="J267" s="1516">
        <v>60</v>
      </c>
      <c r="K267" s="1516">
        <v>60</v>
      </c>
      <c r="L267" s="653">
        <f>18750000*5</f>
        <v>93750000</v>
      </c>
      <c r="M267" s="653">
        <f>SUM(L267*20%)+L267</f>
        <v>112500000</v>
      </c>
      <c r="N267" s="1498" t="s">
        <v>66</v>
      </c>
      <c r="O267" s="1502" t="s">
        <v>144</v>
      </c>
      <c r="P267" s="1502" t="s">
        <v>125</v>
      </c>
    </row>
    <row r="268" spans="1:16" ht="27" customHeight="1">
      <c r="A268" s="1500" t="s">
        <v>48</v>
      </c>
      <c r="B268" s="1500" t="s">
        <v>125</v>
      </c>
      <c r="C268" s="1501" t="s">
        <v>60</v>
      </c>
      <c r="D268" s="1498" t="s">
        <v>61</v>
      </c>
      <c r="E268" s="1527" t="s">
        <v>170</v>
      </c>
      <c r="F268" s="1501" t="s">
        <v>483</v>
      </c>
      <c r="G268" s="1500" t="s">
        <v>34</v>
      </c>
      <c r="H268" s="1519" t="s">
        <v>856</v>
      </c>
      <c r="I268" s="1515">
        <v>45918</v>
      </c>
      <c r="J268" s="1516">
        <v>120</v>
      </c>
      <c r="K268" s="1516" t="s">
        <v>125</v>
      </c>
      <c r="L268" s="653">
        <v>187500000</v>
      </c>
      <c r="M268" s="653">
        <f>SUM(L268*20%)+L268</f>
        <v>225000000</v>
      </c>
      <c r="N268" s="1498" t="s">
        <v>98</v>
      </c>
      <c r="O268" s="1502" t="s">
        <v>144</v>
      </c>
      <c r="P268" s="1502" t="s">
        <v>125</v>
      </c>
    </row>
    <row r="269" spans="1:16" ht="27" customHeight="1">
      <c r="A269" s="1500" t="s">
        <v>48</v>
      </c>
      <c r="B269" s="1500" t="s">
        <v>125</v>
      </c>
      <c r="C269" s="1501" t="s">
        <v>60</v>
      </c>
      <c r="D269" s="1498" t="s">
        <v>61</v>
      </c>
      <c r="E269" s="1527" t="s">
        <v>126</v>
      </c>
      <c r="F269" s="1501" t="s">
        <v>127</v>
      </c>
      <c r="G269" s="1498" t="s">
        <v>34</v>
      </c>
      <c r="H269" s="1499" t="s">
        <v>857</v>
      </c>
      <c r="I269" s="1502">
        <v>45383</v>
      </c>
      <c r="J269" s="1511" t="s">
        <v>858</v>
      </c>
      <c r="K269" s="1511" t="s">
        <v>858</v>
      </c>
      <c r="L269" s="653">
        <v>300000000</v>
      </c>
      <c r="M269" s="653">
        <f>SUM(L269*20%)+L269</f>
        <v>360000000</v>
      </c>
      <c r="N269" s="1502" t="s">
        <v>98</v>
      </c>
      <c r="O269" s="1502" t="s">
        <v>144</v>
      </c>
      <c r="P269" s="1502" t="s">
        <v>125</v>
      </c>
    </row>
    <row r="270" spans="1:16" ht="27" customHeight="1">
      <c r="A270" s="1500" t="s">
        <v>48</v>
      </c>
      <c r="B270" s="1500" t="s">
        <v>125</v>
      </c>
      <c r="C270" s="1501" t="s">
        <v>60</v>
      </c>
      <c r="D270" s="1498" t="s">
        <v>61</v>
      </c>
      <c r="E270" s="1527" t="s">
        <v>126</v>
      </c>
      <c r="F270" s="1501" t="s">
        <v>127</v>
      </c>
      <c r="G270" s="1498" t="s">
        <v>34</v>
      </c>
      <c r="H270" s="1499" t="s">
        <v>859</v>
      </c>
      <c r="I270" s="1502">
        <v>45871</v>
      </c>
      <c r="J270" s="1511" t="s">
        <v>858</v>
      </c>
      <c r="K270" s="1511" t="s">
        <v>858</v>
      </c>
      <c r="L270" s="653">
        <v>300000000</v>
      </c>
      <c r="M270" s="653">
        <f>SUM(L270*20%)+L270</f>
        <v>360000000</v>
      </c>
      <c r="N270" s="1502" t="s">
        <v>98</v>
      </c>
      <c r="O270" s="1502" t="s">
        <v>144</v>
      </c>
      <c r="P270" s="1502" t="s">
        <v>125</v>
      </c>
    </row>
    <row r="271" spans="1:16" ht="27" customHeight="1">
      <c r="A271" s="1500" t="s">
        <v>48</v>
      </c>
      <c r="B271" s="1500" t="s">
        <v>125</v>
      </c>
      <c r="C271" s="1501" t="s">
        <v>60</v>
      </c>
      <c r="D271" s="1498" t="s">
        <v>61</v>
      </c>
      <c r="E271" s="1527" t="s">
        <v>170</v>
      </c>
      <c r="F271" s="1501" t="s">
        <v>127</v>
      </c>
      <c r="G271" s="1498" t="s">
        <v>34</v>
      </c>
      <c r="H271" s="1527" t="s">
        <v>860</v>
      </c>
      <c r="I271" s="1502">
        <v>52322</v>
      </c>
      <c r="J271" s="1511" t="str">
        <f>"tbc " &amp;25*12</f>
        <v>tbc 300</v>
      </c>
      <c r="K271" s="1511" t="s">
        <v>125</v>
      </c>
      <c r="L271" s="653">
        <v>1000000000</v>
      </c>
      <c r="M271" s="653">
        <f>SUM(L271*20%)+L271</f>
        <v>1200000000</v>
      </c>
      <c r="N271" s="1502" t="s">
        <v>98</v>
      </c>
      <c r="O271" s="1502" t="s">
        <v>144</v>
      </c>
      <c r="P271" s="1502" t="s">
        <v>861</v>
      </c>
    </row>
    <row r="272" spans="1:16" ht="27" customHeight="1">
      <c r="A272" s="1500" t="s">
        <v>48</v>
      </c>
      <c r="B272" s="1500" t="s">
        <v>125</v>
      </c>
      <c r="C272" s="1529" t="s">
        <v>214</v>
      </c>
      <c r="D272" s="1498" t="s">
        <v>31</v>
      </c>
      <c r="E272" s="1499" t="s">
        <v>32</v>
      </c>
      <c r="F272" s="1501" t="s">
        <v>127</v>
      </c>
      <c r="G272" s="1500" t="s">
        <v>34</v>
      </c>
      <c r="H272" s="1519" t="s">
        <v>895</v>
      </c>
      <c r="I272" s="1515" t="s">
        <v>188</v>
      </c>
      <c r="J272" s="1516">
        <v>60</v>
      </c>
      <c r="K272" s="1516">
        <v>60</v>
      </c>
      <c r="L272" s="653">
        <v>475000</v>
      </c>
      <c r="M272" s="653">
        <f>SUM(L272*20%)+L272</f>
        <v>570000</v>
      </c>
      <c r="N272" s="1502" t="s">
        <v>35</v>
      </c>
      <c r="O272" s="1502" t="s">
        <v>43</v>
      </c>
      <c r="P272" s="1502" t="s">
        <v>54</v>
      </c>
    </row>
    <row r="273" spans="1:16" ht="27" customHeight="1">
      <c r="A273" s="1500" t="s">
        <v>48</v>
      </c>
      <c r="B273" s="1500" t="s">
        <v>125</v>
      </c>
      <c r="C273" s="1501" t="s">
        <v>92</v>
      </c>
      <c r="D273" s="1498" t="s">
        <v>92</v>
      </c>
      <c r="E273" s="1527" t="s">
        <v>333</v>
      </c>
      <c r="F273" s="1501" t="s">
        <v>49</v>
      </c>
      <c r="G273" s="1498" t="s">
        <v>34</v>
      </c>
      <c r="H273" s="1527" t="s">
        <v>896</v>
      </c>
      <c r="I273" s="1542">
        <v>45925</v>
      </c>
      <c r="J273" s="1540" t="s">
        <v>125</v>
      </c>
      <c r="K273" s="1540" t="s">
        <v>125</v>
      </c>
      <c r="L273" s="653" t="s">
        <v>897</v>
      </c>
      <c r="M273" s="653" t="e">
        <f>SUM(L273*20%)+L273</f>
        <v>#VALUE!</v>
      </c>
      <c r="N273" s="1540" t="s">
        <v>98</v>
      </c>
      <c r="O273" s="1540" t="s">
        <v>898</v>
      </c>
      <c r="P273" s="1525" t="s">
        <v>125</v>
      </c>
    </row>
    <row r="274" spans="1:16" ht="27" customHeight="1">
      <c r="A274" s="1500" t="s">
        <v>48</v>
      </c>
      <c r="B274" s="1500" t="s">
        <v>125</v>
      </c>
      <c r="C274" s="1529" t="s">
        <v>214</v>
      </c>
      <c r="D274" s="1498" t="s">
        <v>31</v>
      </c>
      <c r="E274" s="1499" t="s">
        <v>32</v>
      </c>
      <c r="F274" s="1501" t="s">
        <v>127</v>
      </c>
      <c r="G274" s="1500" t="s">
        <v>34</v>
      </c>
      <c r="H274" s="1519" t="s">
        <v>907</v>
      </c>
      <c r="I274" s="1515" t="s">
        <v>125</v>
      </c>
      <c r="J274" s="1516" t="s">
        <v>125</v>
      </c>
      <c r="K274" s="1516" t="s">
        <v>125</v>
      </c>
      <c r="L274" s="653" t="s">
        <v>125</v>
      </c>
      <c r="M274" s="653" t="e">
        <f>SUM(L274*20%)+L274</f>
        <v>#VALUE!</v>
      </c>
      <c r="N274" s="1502" t="s">
        <v>109</v>
      </c>
      <c r="O274" s="1502" t="s">
        <v>43</v>
      </c>
      <c r="P274" s="1502" t="s">
        <v>100</v>
      </c>
    </row>
    <row r="275" spans="1:16" ht="27" customHeight="1">
      <c r="A275" s="1500" t="s">
        <v>48</v>
      </c>
      <c r="B275" s="1500" t="s">
        <v>125</v>
      </c>
      <c r="C275" s="1529" t="s">
        <v>214</v>
      </c>
      <c r="D275" s="1498" t="s">
        <v>31</v>
      </c>
      <c r="E275" s="1499" t="s">
        <v>32</v>
      </c>
      <c r="F275" s="1501" t="s">
        <v>49</v>
      </c>
      <c r="G275" s="1500" t="s">
        <v>34</v>
      </c>
      <c r="H275" s="1519" t="s">
        <v>917</v>
      </c>
      <c r="I275" s="1515">
        <v>45078</v>
      </c>
      <c r="J275" s="1516">
        <v>48</v>
      </c>
      <c r="K275" s="1516" t="s">
        <v>191</v>
      </c>
      <c r="L275" s="653" t="s">
        <v>125</v>
      </c>
      <c r="M275" s="653" t="e">
        <f>SUM(L275*20%)+L275</f>
        <v>#VALUE!</v>
      </c>
      <c r="N275" s="1502" t="s">
        <v>163</v>
      </c>
      <c r="O275" s="1502" t="s">
        <v>100</v>
      </c>
      <c r="P275" s="1502" t="s">
        <v>100</v>
      </c>
    </row>
    <row r="276" spans="1:16" ht="27" customHeight="1">
      <c r="A276" s="1509" t="s">
        <v>48</v>
      </c>
      <c r="B276" s="1501" t="s">
        <v>35</v>
      </c>
      <c r="C276" s="1562" t="s">
        <v>214</v>
      </c>
      <c r="D276" s="1498" t="s">
        <v>31</v>
      </c>
      <c r="E276" s="1499" t="s">
        <v>32</v>
      </c>
      <c r="F276" s="1501" t="s">
        <v>127</v>
      </c>
      <c r="G276" s="1498" t="s">
        <v>34</v>
      </c>
      <c r="H276" s="1499" t="s">
        <v>933</v>
      </c>
      <c r="I276" s="1556" t="s">
        <v>125</v>
      </c>
      <c r="J276" s="1556" t="s">
        <v>125</v>
      </c>
      <c r="K276" s="1556" t="s">
        <v>125</v>
      </c>
      <c r="L276" s="1556" t="s">
        <v>125</v>
      </c>
      <c r="M276" s="653" t="str">
        <f>IF(ISNUMBER(L276),(SUM(L276*20%)+L276),"")</f>
        <v/>
      </c>
      <c r="N276" s="1556" t="s">
        <v>125</v>
      </c>
      <c r="O276" s="1556" t="s">
        <v>100</v>
      </c>
      <c r="P276" s="1556" t="s">
        <v>100</v>
      </c>
    </row>
    <row r="277" spans="1:16" ht="27" customHeight="1">
      <c r="A277" s="1509" t="s">
        <v>48</v>
      </c>
      <c r="B277" s="1501" t="s">
        <v>35</v>
      </c>
      <c r="C277" s="1554" t="s">
        <v>60</v>
      </c>
      <c r="D277" s="1498" t="s">
        <v>61</v>
      </c>
      <c r="E277" s="1527" t="s">
        <v>170</v>
      </c>
      <c r="F277" s="1498" t="s">
        <v>483</v>
      </c>
      <c r="G277" s="1498" t="s">
        <v>34</v>
      </c>
      <c r="H277" s="1499" t="s">
        <v>934</v>
      </c>
      <c r="I277" s="1556" t="s">
        <v>125</v>
      </c>
      <c r="J277" s="1556" t="s">
        <v>125</v>
      </c>
      <c r="K277" s="1556" t="s">
        <v>125</v>
      </c>
      <c r="L277" s="1556" t="s">
        <v>125</v>
      </c>
      <c r="M277" s="653" t="e">
        <f>SUM(L277*20%)+L277</f>
        <v>#VALUE!</v>
      </c>
      <c r="N277" s="1556" t="s">
        <v>125</v>
      </c>
      <c r="O277" s="1556" t="s">
        <v>125</v>
      </c>
      <c r="P277" s="1556" t="s">
        <v>125</v>
      </c>
    </row>
    <row r="278" spans="1:16" ht="27" customHeight="1">
      <c r="A278" s="1509" t="s">
        <v>48</v>
      </c>
      <c r="B278" s="1501" t="s">
        <v>35</v>
      </c>
      <c r="C278" s="1554" t="s">
        <v>60</v>
      </c>
      <c r="D278" s="1498" t="s">
        <v>61</v>
      </c>
      <c r="E278" s="1527" t="s">
        <v>126</v>
      </c>
      <c r="F278" s="1498" t="s">
        <v>681</v>
      </c>
      <c r="G278" s="1498" t="s">
        <v>34</v>
      </c>
      <c r="H278" s="1499" t="s">
        <v>935</v>
      </c>
      <c r="I278" s="1556" t="s">
        <v>125</v>
      </c>
      <c r="J278" s="1556" t="s">
        <v>125</v>
      </c>
      <c r="K278" s="1556" t="s">
        <v>125</v>
      </c>
      <c r="L278" s="1556" t="s">
        <v>125</v>
      </c>
      <c r="M278" s="653" t="e">
        <f>SUM(L278*20%)+L278</f>
        <v>#VALUE!</v>
      </c>
      <c r="N278" s="1556" t="s">
        <v>125</v>
      </c>
      <c r="O278" s="1556" t="s">
        <v>125</v>
      </c>
      <c r="P278" s="1556" t="s">
        <v>125</v>
      </c>
    </row>
    <row r="279" spans="1:16" ht="27" customHeight="1">
      <c r="A279" s="1509" t="s">
        <v>48</v>
      </c>
      <c r="B279" s="1501" t="s">
        <v>35</v>
      </c>
      <c r="C279" s="1554" t="s">
        <v>60</v>
      </c>
      <c r="D279" s="1498" t="s">
        <v>61</v>
      </c>
      <c r="E279" s="1527" t="s">
        <v>126</v>
      </c>
      <c r="F279" s="1498" t="s">
        <v>681</v>
      </c>
      <c r="G279" s="1498" t="s">
        <v>34</v>
      </c>
      <c r="H279" s="1499" t="s">
        <v>936</v>
      </c>
      <c r="I279" s="1556" t="s">
        <v>125</v>
      </c>
      <c r="J279" s="1556" t="s">
        <v>125</v>
      </c>
      <c r="K279" s="1556" t="s">
        <v>125</v>
      </c>
      <c r="L279" s="1556" t="s">
        <v>125</v>
      </c>
      <c r="M279" s="653" t="e">
        <f>SUM(L279*20%)+L279</f>
        <v>#VALUE!</v>
      </c>
      <c r="N279" s="1556" t="s">
        <v>109</v>
      </c>
      <c r="O279" s="1556" t="s">
        <v>125</v>
      </c>
      <c r="P279" s="1556" t="s">
        <v>125</v>
      </c>
    </row>
    <row r="280" spans="1:16" ht="27" customHeight="1">
      <c r="A280" s="1500" t="s">
        <v>48</v>
      </c>
      <c r="B280" s="1500" t="s">
        <v>125</v>
      </c>
      <c r="C280" s="1529" t="s">
        <v>214</v>
      </c>
      <c r="D280" s="1498" t="s">
        <v>31</v>
      </c>
      <c r="E280" s="1499" t="s">
        <v>32</v>
      </c>
      <c r="F280" s="1501" t="s">
        <v>49</v>
      </c>
      <c r="G280" s="1500" t="s">
        <v>34</v>
      </c>
      <c r="H280" s="1519" t="s">
        <v>937</v>
      </c>
      <c r="I280" s="1525">
        <v>45078</v>
      </c>
      <c r="J280" s="1525" t="s">
        <v>125</v>
      </c>
      <c r="K280" s="1516" t="s">
        <v>125</v>
      </c>
      <c r="L280" s="653" t="s">
        <v>125</v>
      </c>
      <c r="M280" s="653" t="e">
        <f>SUM(L280*20%)+L280</f>
        <v>#VALUE!</v>
      </c>
      <c r="N280" s="1502" t="s">
        <v>125</v>
      </c>
      <c r="O280" s="1502" t="s">
        <v>100</v>
      </c>
      <c r="P280" s="1502" t="s">
        <v>100</v>
      </c>
    </row>
    <row r="281" spans="1:16" ht="27" customHeight="1">
      <c r="A281" s="1500" t="s">
        <v>48</v>
      </c>
      <c r="B281" s="1500" t="s">
        <v>125</v>
      </c>
      <c r="C281" s="1529" t="s">
        <v>214</v>
      </c>
      <c r="D281" s="1498" t="s">
        <v>31</v>
      </c>
      <c r="E281" s="1499" t="s">
        <v>32</v>
      </c>
      <c r="F281" s="1501" t="s">
        <v>49</v>
      </c>
      <c r="G281" s="1500" t="s">
        <v>34</v>
      </c>
      <c r="H281" s="1519" t="s">
        <v>940</v>
      </c>
      <c r="I281" s="1515" t="s">
        <v>125</v>
      </c>
      <c r="J281" s="1516" t="s">
        <v>125</v>
      </c>
      <c r="K281" s="1516" t="s">
        <v>125</v>
      </c>
      <c r="L281" s="653" t="s">
        <v>125</v>
      </c>
      <c r="M281" s="653" t="e">
        <f>SUM(L281*20%)+L281</f>
        <v>#VALUE!</v>
      </c>
      <c r="N281" s="1502" t="s">
        <v>98</v>
      </c>
      <c r="O281" s="1502" t="s">
        <v>100</v>
      </c>
      <c r="P281" s="1502" t="s">
        <v>100</v>
      </c>
    </row>
    <row r="282" spans="1:16" ht="27" customHeight="1">
      <c r="A282" s="1500" t="s">
        <v>48</v>
      </c>
      <c r="B282" s="1500" t="s">
        <v>125</v>
      </c>
      <c r="C282" s="1529" t="s">
        <v>214</v>
      </c>
      <c r="D282" s="1498" t="s">
        <v>31</v>
      </c>
      <c r="E282" s="1499" t="s">
        <v>32</v>
      </c>
      <c r="F282" s="1501" t="s">
        <v>49</v>
      </c>
      <c r="G282" s="1500" t="s">
        <v>34</v>
      </c>
      <c r="H282" s="1519" t="s">
        <v>941</v>
      </c>
      <c r="I282" s="1525" t="s">
        <v>125</v>
      </c>
      <c r="J282" s="1525" t="s">
        <v>125</v>
      </c>
      <c r="K282" s="1516" t="s">
        <v>125</v>
      </c>
      <c r="L282" s="653" t="s">
        <v>125</v>
      </c>
      <c r="M282" s="653" t="e">
        <f>SUM(L282*20%)+L282</f>
        <v>#VALUE!</v>
      </c>
      <c r="N282" s="1502" t="s">
        <v>35</v>
      </c>
      <c r="O282" s="1502" t="s">
        <v>100</v>
      </c>
      <c r="P282" s="1502" t="s">
        <v>100</v>
      </c>
    </row>
    <row r="283" spans="1:16" ht="27" customHeight="1">
      <c r="A283" s="1500" t="s">
        <v>48</v>
      </c>
      <c r="B283" s="1500" t="s">
        <v>125</v>
      </c>
      <c r="C283" s="1501" t="s">
        <v>60</v>
      </c>
      <c r="D283" s="1498" t="s">
        <v>61</v>
      </c>
      <c r="E283" s="1527" t="s">
        <v>126</v>
      </c>
      <c r="F283" s="1501" t="s">
        <v>127</v>
      </c>
      <c r="G283" s="1500" t="s">
        <v>64</v>
      </c>
      <c r="H283" s="1519" t="s">
        <v>942</v>
      </c>
      <c r="I283" s="1515">
        <v>45112</v>
      </c>
      <c r="J283" s="1516">
        <v>24</v>
      </c>
      <c r="K283" s="1516">
        <v>24</v>
      </c>
      <c r="L283" s="653" t="s">
        <v>125</v>
      </c>
      <c r="M283" s="653" t="e">
        <f>SUM(L283*20%)+L283</f>
        <v>#VALUE!</v>
      </c>
      <c r="N283" s="1502" t="s">
        <v>129</v>
      </c>
      <c r="O283" s="1502" t="s">
        <v>144</v>
      </c>
      <c r="P283" s="1502" t="s">
        <v>125</v>
      </c>
    </row>
    <row r="284" spans="1:16" ht="27" customHeight="1">
      <c r="A284" s="1501" t="s">
        <v>48</v>
      </c>
      <c r="B284" s="1501" t="s">
        <v>35</v>
      </c>
      <c r="C284" s="1498" t="s">
        <v>60</v>
      </c>
      <c r="D284" s="1498" t="s">
        <v>61</v>
      </c>
      <c r="E284" s="1527" t="s">
        <v>170</v>
      </c>
      <c r="F284" s="1498" t="s">
        <v>483</v>
      </c>
      <c r="G284" s="1498" t="s">
        <v>34</v>
      </c>
      <c r="H284" s="1499" t="s">
        <v>957</v>
      </c>
      <c r="I284" s="1513" t="s">
        <v>188</v>
      </c>
      <c r="J284" s="1501" t="s">
        <v>125</v>
      </c>
      <c r="K284" s="1501" t="s">
        <v>125</v>
      </c>
      <c r="L284" s="653" t="s">
        <v>125</v>
      </c>
      <c r="M284" s="653" t="e">
        <f>SUM(L284*20%)+L284</f>
        <v>#VALUE!</v>
      </c>
      <c r="N284" s="1514" t="s">
        <v>125</v>
      </c>
      <c r="O284" s="1498" t="s">
        <v>125</v>
      </c>
      <c r="P284" s="1498" t="s">
        <v>35</v>
      </c>
    </row>
    <row r="285" spans="1:16" ht="27" customHeight="1">
      <c r="A285" s="1500" t="s">
        <v>48</v>
      </c>
      <c r="B285" s="1500" t="s">
        <v>125</v>
      </c>
      <c r="C285" s="1501" t="s">
        <v>29</v>
      </c>
      <c r="D285" s="1501" t="s">
        <v>31</v>
      </c>
      <c r="E285" s="1527" t="s">
        <v>32</v>
      </c>
      <c r="F285" s="1501" t="s">
        <v>49</v>
      </c>
      <c r="G285" s="1498" t="s">
        <v>34</v>
      </c>
      <c r="H285" s="1543" t="s">
        <v>960</v>
      </c>
      <c r="I285" s="1502">
        <v>45323</v>
      </c>
      <c r="J285" s="1511" t="s">
        <v>125</v>
      </c>
      <c r="K285" s="1511" t="s">
        <v>125</v>
      </c>
      <c r="L285" s="653" t="s">
        <v>35</v>
      </c>
      <c r="M285" s="653" t="e">
        <f>SUM(L285*20%)+L285</f>
        <v>#VALUE!</v>
      </c>
      <c r="N285" s="1502" t="s">
        <v>691</v>
      </c>
      <c r="O285" s="1502" t="s">
        <v>898</v>
      </c>
      <c r="P285" s="1500" t="s">
        <v>125</v>
      </c>
    </row>
    <row r="286" spans="1:16" ht="27" customHeight="1">
      <c r="A286" s="1500" t="s">
        <v>48</v>
      </c>
      <c r="B286" s="1500" t="s">
        <v>125</v>
      </c>
      <c r="C286" s="1501" t="s">
        <v>29</v>
      </c>
      <c r="D286" s="1501" t="s">
        <v>31</v>
      </c>
      <c r="E286" s="1527" t="s">
        <v>32</v>
      </c>
      <c r="F286" s="1501" t="s">
        <v>49</v>
      </c>
      <c r="G286" s="1498" t="s">
        <v>34</v>
      </c>
      <c r="H286" s="1543" t="s">
        <v>961</v>
      </c>
      <c r="I286" s="1502">
        <v>45323</v>
      </c>
      <c r="J286" s="1511" t="s">
        <v>125</v>
      </c>
      <c r="K286" s="1511" t="s">
        <v>125</v>
      </c>
      <c r="L286" s="653" t="s">
        <v>35</v>
      </c>
      <c r="M286" s="653" t="e">
        <f>SUM(L286*20%)+L286</f>
        <v>#VALUE!</v>
      </c>
      <c r="N286" s="1502" t="s">
        <v>691</v>
      </c>
      <c r="O286" s="1502" t="s">
        <v>898</v>
      </c>
      <c r="P286" s="1500" t="s">
        <v>125</v>
      </c>
    </row>
    <row r="287" spans="1:16" ht="27" customHeight="1">
      <c r="A287" s="1500" t="s">
        <v>48</v>
      </c>
      <c r="B287" s="1500" t="s">
        <v>125</v>
      </c>
      <c r="C287" s="1501" t="s">
        <v>29</v>
      </c>
      <c r="D287" s="1501" t="s">
        <v>31</v>
      </c>
      <c r="E287" s="1527" t="s">
        <v>32</v>
      </c>
      <c r="F287" s="1501" t="s">
        <v>49</v>
      </c>
      <c r="G287" s="1498" t="s">
        <v>34</v>
      </c>
      <c r="H287" s="1543" t="s">
        <v>962</v>
      </c>
      <c r="I287" s="1502">
        <v>45323</v>
      </c>
      <c r="J287" s="1511" t="s">
        <v>125</v>
      </c>
      <c r="K287" s="1511" t="s">
        <v>125</v>
      </c>
      <c r="L287" s="653" t="s">
        <v>35</v>
      </c>
      <c r="M287" s="653" t="e">
        <f>SUM(L287*20%)+L287</f>
        <v>#VALUE!</v>
      </c>
      <c r="N287" s="1502" t="s">
        <v>691</v>
      </c>
      <c r="O287" s="1502" t="s">
        <v>898</v>
      </c>
      <c r="P287" s="1500" t="s">
        <v>125</v>
      </c>
    </row>
    <row r="288" spans="1:16" ht="27" customHeight="1">
      <c r="A288" s="1500" t="s">
        <v>48</v>
      </c>
      <c r="B288" s="1500" t="s">
        <v>125</v>
      </c>
      <c r="C288" s="1501" t="s">
        <v>29</v>
      </c>
      <c r="D288" s="1501" t="s">
        <v>31</v>
      </c>
      <c r="E288" s="1527" t="s">
        <v>32</v>
      </c>
      <c r="F288" s="1501" t="s">
        <v>49</v>
      </c>
      <c r="G288" s="1498" t="s">
        <v>34</v>
      </c>
      <c r="H288" s="1543" t="s">
        <v>963</v>
      </c>
      <c r="I288" s="1502">
        <v>45323</v>
      </c>
      <c r="J288" s="1511" t="s">
        <v>125</v>
      </c>
      <c r="K288" s="1511" t="s">
        <v>125</v>
      </c>
      <c r="L288" s="653" t="s">
        <v>35</v>
      </c>
      <c r="M288" s="653" t="e">
        <f>SUM(L288*20%)+L288</f>
        <v>#VALUE!</v>
      </c>
      <c r="N288" s="1502" t="s">
        <v>691</v>
      </c>
      <c r="O288" s="1502" t="s">
        <v>898</v>
      </c>
      <c r="P288" s="1500" t="s">
        <v>125</v>
      </c>
    </row>
    <row r="289" spans="1:16" ht="27" customHeight="1">
      <c r="A289" s="1500" t="s">
        <v>48</v>
      </c>
      <c r="B289" s="1500" t="s">
        <v>125</v>
      </c>
      <c r="C289" s="1501" t="s">
        <v>29</v>
      </c>
      <c r="D289" s="1501" t="s">
        <v>31</v>
      </c>
      <c r="E289" s="1527" t="s">
        <v>32</v>
      </c>
      <c r="F289" s="1501" t="s">
        <v>49</v>
      </c>
      <c r="G289" s="1498" t="s">
        <v>34</v>
      </c>
      <c r="H289" s="1543" t="s">
        <v>964</v>
      </c>
      <c r="I289" s="1502">
        <v>45323</v>
      </c>
      <c r="J289" s="1511" t="s">
        <v>125</v>
      </c>
      <c r="K289" s="1511" t="s">
        <v>125</v>
      </c>
      <c r="L289" s="653" t="s">
        <v>35</v>
      </c>
      <c r="M289" s="653" t="e">
        <f>SUM(L289*20%)+L289</f>
        <v>#VALUE!</v>
      </c>
      <c r="N289" s="1502" t="s">
        <v>691</v>
      </c>
      <c r="O289" s="1502" t="s">
        <v>898</v>
      </c>
      <c r="P289" s="1500" t="s">
        <v>125</v>
      </c>
    </row>
    <row r="290" spans="1:16" ht="27" customHeight="1">
      <c r="A290" s="1500" t="s">
        <v>48</v>
      </c>
      <c r="B290" s="1500" t="s">
        <v>125</v>
      </c>
      <c r="C290" s="1501" t="s">
        <v>29</v>
      </c>
      <c r="D290" s="1501" t="s">
        <v>31</v>
      </c>
      <c r="E290" s="1527" t="s">
        <v>32</v>
      </c>
      <c r="F290" s="1501" t="s">
        <v>49</v>
      </c>
      <c r="G290" s="1498" t="s">
        <v>64</v>
      </c>
      <c r="H290" s="1543" t="s">
        <v>965</v>
      </c>
      <c r="I290" s="1502">
        <v>45323</v>
      </c>
      <c r="J290" s="1511" t="s">
        <v>125</v>
      </c>
      <c r="K290" s="1511" t="s">
        <v>125</v>
      </c>
      <c r="L290" s="653" t="s">
        <v>35</v>
      </c>
      <c r="M290" s="653" t="e">
        <f>SUM(L290*20%)+L290</f>
        <v>#VALUE!</v>
      </c>
      <c r="N290" s="1502" t="s">
        <v>66</v>
      </c>
      <c r="O290" s="1502" t="s">
        <v>898</v>
      </c>
      <c r="P290" s="1500" t="s">
        <v>125</v>
      </c>
    </row>
    <row r="291" spans="1:16" ht="27" customHeight="1">
      <c r="A291" s="1500" t="s">
        <v>48</v>
      </c>
      <c r="B291" s="1500" t="s">
        <v>125</v>
      </c>
      <c r="C291" s="1501" t="s">
        <v>29</v>
      </c>
      <c r="D291" s="1501" t="s">
        <v>31</v>
      </c>
      <c r="E291" s="1527" t="s">
        <v>32</v>
      </c>
      <c r="F291" s="1501" t="s">
        <v>49</v>
      </c>
      <c r="G291" s="1500" t="s">
        <v>34</v>
      </c>
      <c r="H291" s="1519" t="s">
        <v>987</v>
      </c>
      <c r="I291" s="1515" t="s">
        <v>125</v>
      </c>
      <c r="J291" s="1515" t="s">
        <v>125</v>
      </c>
      <c r="K291" s="1515" t="s">
        <v>125</v>
      </c>
      <c r="L291" s="653" t="s">
        <v>125</v>
      </c>
      <c r="M291" s="653" t="e">
        <f>SUM(L291*20%)+L291</f>
        <v>#VALUE!</v>
      </c>
      <c r="N291" s="1502" t="s">
        <v>173</v>
      </c>
      <c r="O291" s="1502" t="s">
        <v>36</v>
      </c>
      <c r="P291" s="1502" t="s">
        <v>100</v>
      </c>
    </row>
    <row r="292" spans="1:16" ht="27" customHeight="1">
      <c r="A292" s="1497" t="s">
        <v>48</v>
      </c>
      <c r="B292" s="1498"/>
      <c r="C292" s="1498" t="s">
        <v>29</v>
      </c>
      <c r="D292" s="1498" t="s">
        <v>31</v>
      </c>
      <c r="E292" s="1499" t="s">
        <v>32</v>
      </c>
      <c r="F292" s="1498" t="s">
        <v>176</v>
      </c>
      <c r="G292" s="1498" t="s">
        <v>50</v>
      </c>
      <c r="H292" s="1499" t="s">
        <v>988</v>
      </c>
      <c r="I292" s="1502">
        <v>45170</v>
      </c>
      <c r="J292" s="1498" t="s">
        <v>35</v>
      </c>
      <c r="K292" s="1521" t="s">
        <v>35</v>
      </c>
      <c r="L292" s="653" t="s">
        <v>35</v>
      </c>
      <c r="M292" s="653" t="e">
        <f>SUM(L292*20%)+L292</f>
        <v>#VALUE!</v>
      </c>
      <c r="N292" s="1498" t="s">
        <v>53</v>
      </c>
      <c r="O292" s="1498" t="s">
        <v>54</v>
      </c>
      <c r="P292" s="1498" t="s">
        <v>37</v>
      </c>
    </row>
    <row r="293" spans="1:16" ht="27" customHeight="1">
      <c r="A293" s="1500" t="s">
        <v>48</v>
      </c>
      <c r="B293" s="1500" t="s">
        <v>125</v>
      </c>
      <c r="C293" s="1529" t="s">
        <v>991</v>
      </c>
      <c r="D293" s="1498" t="s">
        <v>31</v>
      </c>
      <c r="E293" s="1499" t="s">
        <v>32</v>
      </c>
      <c r="F293" s="1501" t="s">
        <v>127</v>
      </c>
      <c r="G293" s="1498" t="s">
        <v>34</v>
      </c>
      <c r="H293" s="1499" t="s">
        <v>646</v>
      </c>
      <c r="I293" s="1515">
        <v>45505</v>
      </c>
      <c r="J293" s="1500" t="s">
        <v>125</v>
      </c>
      <c r="K293" s="1573" t="s">
        <v>125</v>
      </c>
      <c r="L293" s="653" t="s">
        <v>125</v>
      </c>
      <c r="M293" s="653" t="e">
        <f>SUM(L293*20%)+L293</f>
        <v>#VALUE!</v>
      </c>
      <c r="N293" s="690" t="s">
        <v>98</v>
      </c>
      <c r="O293" s="1498" t="s">
        <v>125</v>
      </c>
      <c r="P293" s="1502" t="s">
        <v>100</v>
      </c>
    </row>
    <row r="294" spans="1:16" ht="27" customHeight="1">
      <c r="A294" s="1500" t="s">
        <v>48</v>
      </c>
      <c r="B294" s="1500" t="s">
        <v>125</v>
      </c>
      <c r="C294" s="1529" t="s">
        <v>214</v>
      </c>
      <c r="D294" s="1498" t="s">
        <v>31</v>
      </c>
      <c r="E294" s="1499" t="s">
        <v>32</v>
      </c>
      <c r="F294" s="1501" t="s">
        <v>49</v>
      </c>
      <c r="G294" s="1500" t="s">
        <v>64</v>
      </c>
      <c r="H294" s="1519" t="s">
        <v>917</v>
      </c>
      <c r="I294" s="1515">
        <v>45444</v>
      </c>
      <c r="J294" s="1516">
        <v>12</v>
      </c>
      <c r="K294" s="1516">
        <v>12</v>
      </c>
      <c r="L294" s="653" t="s">
        <v>125</v>
      </c>
      <c r="M294" s="653" t="e">
        <f>SUM(L294*20%)+L294</f>
        <v>#VALUE!</v>
      </c>
      <c r="N294" s="1502" t="s">
        <v>66</v>
      </c>
      <c r="O294" s="1502" t="s">
        <v>100</v>
      </c>
      <c r="P294" s="1502" t="s">
        <v>100</v>
      </c>
    </row>
    <row r="295" spans="1:16" ht="27" customHeight="1">
      <c r="A295" s="1500" t="s">
        <v>48</v>
      </c>
      <c r="B295" s="1500" t="s">
        <v>125</v>
      </c>
      <c r="C295" s="1501" t="s">
        <v>29</v>
      </c>
      <c r="D295" s="1501" t="s">
        <v>31</v>
      </c>
      <c r="E295" s="1527" t="s">
        <v>32</v>
      </c>
      <c r="F295" s="1501" t="s">
        <v>49</v>
      </c>
      <c r="G295" s="1498" t="s">
        <v>34</v>
      </c>
      <c r="H295" s="1543" t="s">
        <v>965</v>
      </c>
      <c r="I295" s="1502">
        <v>45657</v>
      </c>
      <c r="J295" s="1511" t="s">
        <v>125</v>
      </c>
      <c r="K295" s="1511" t="s">
        <v>125</v>
      </c>
      <c r="L295" s="653" t="s">
        <v>35</v>
      </c>
      <c r="M295" s="653" t="e">
        <f>SUM(L295*20%)+L295</f>
        <v>#VALUE!</v>
      </c>
      <c r="N295" s="1502" t="s">
        <v>691</v>
      </c>
      <c r="O295" s="1502" t="s">
        <v>898</v>
      </c>
      <c r="P295" s="1500" t="s">
        <v>125</v>
      </c>
    </row>
    <row r="296" spans="1:16" ht="27" customHeight="1">
      <c r="A296" s="1500" t="s">
        <v>48</v>
      </c>
      <c r="B296" s="1501" t="s">
        <v>125</v>
      </c>
      <c r="C296" s="1501" t="s">
        <v>29</v>
      </c>
      <c r="D296" s="1501" t="s">
        <v>31</v>
      </c>
      <c r="E296" s="1527" t="s">
        <v>32</v>
      </c>
      <c r="F296" s="1501" t="s">
        <v>165</v>
      </c>
      <c r="G296" s="1501" t="s">
        <v>34</v>
      </c>
      <c r="H296" s="1527" t="s">
        <v>1023</v>
      </c>
      <c r="I296" s="1525">
        <v>45748</v>
      </c>
      <c r="J296" s="1540" t="s">
        <v>125</v>
      </c>
      <c r="K296" s="1540" t="s">
        <v>125</v>
      </c>
      <c r="L296" s="653" t="s">
        <v>125</v>
      </c>
      <c r="M296" s="653" t="e">
        <f>SUM(L296*20%)+L296</f>
        <v>#VALUE!</v>
      </c>
      <c r="N296" s="1501" t="s">
        <v>125</v>
      </c>
      <c r="O296" s="1501" t="s">
        <v>898</v>
      </c>
      <c r="P296" s="1525" t="s">
        <v>125</v>
      </c>
    </row>
    <row r="297" spans="1:16" ht="27" customHeight="1">
      <c r="A297" s="1500" t="s">
        <v>48</v>
      </c>
      <c r="B297" s="1500" t="s">
        <v>125</v>
      </c>
      <c r="C297" s="1501" t="s">
        <v>29</v>
      </c>
      <c r="D297" s="1501" t="s">
        <v>31</v>
      </c>
      <c r="E297" s="1527" t="s">
        <v>32</v>
      </c>
      <c r="F297" s="1501" t="s">
        <v>49</v>
      </c>
      <c r="G297" s="1498" t="s">
        <v>34</v>
      </c>
      <c r="H297" s="1499" t="s">
        <v>1027</v>
      </c>
      <c r="I297" s="1502">
        <v>45901</v>
      </c>
      <c r="J297" s="1511" t="s">
        <v>125</v>
      </c>
      <c r="K297" s="1511" t="s">
        <v>125</v>
      </c>
      <c r="L297" s="653" t="s">
        <v>125</v>
      </c>
      <c r="M297" s="653" t="e">
        <f>SUM(L297*20%)+L297</f>
        <v>#VALUE!</v>
      </c>
      <c r="N297" s="1502" t="s">
        <v>98</v>
      </c>
      <c r="O297" s="1502" t="s">
        <v>144</v>
      </c>
      <c r="P297" s="1500" t="s">
        <v>125</v>
      </c>
    </row>
    <row r="298" spans="1:16" ht="27" customHeight="1">
      <c r="A298" s="1500" t="s">
        <v>48</v>
      </c>
      <c r="B298" s="1500" t="s">
        <v>125</v>
      </c>
      <c r="C298" s="1501" t="s">
        <v>29</v>
      </c>
      <c r="D298" s="1501" t="s">
        <v>31</v>
      </c>
      <c r="E298" s="1527" t="s">
        <v>32</v>
      </c>
      <c r="F298" s="1501" t="s">
        <v>49</v>
      </c>
      <c r="G298" s="1498" t="s">
        <v>34</v>
      </c>
      <c r="H298" s="1499" t="s">
        <v>1028</v>
      </c>
      <c r="I298" s="1502">
        <v>45901</v>
      </c>
      <c r="J298" s="1511" t="s">
        <v>125</v>
      </c>
      <c r="K298" s="1511" t="s">
        <v>125</v>
      </c>
      <c r="L298" s="653" t="s">
        <v>125</v>
      </c>
      <c r="M298" s="653" t="e">
        <f>SUM(L298*20%)+L298</f>
        <v>#VALUE!</v>
      </c>
      <c r="N298" s="1502" t="s">
        <v>98</v>
      </c>
      <c r="O298" s="1502" t="s">
        <v>144</v>
      </c>
      <c r="P298" s="1500" t="s">
        <v>125</v>
      </c>
    </row>
    <row r="299" spans="1:16" ht="27" customHeight="1">
      <c r="A299" s="1500" t="s">
        <v>48</v>
      </c>
      <c r="B299" s="1500" t="s">
        <v>125</v>
      </c>
      <c r="C299" s="1501" t="s">
        <v>29</v>
      </c>
      <c r="D299" s="1501" t="s">
        <v>31</v>
      </c>
      <c r="E299" s="1527" t="s">
        <v>32</v>
      </c>
      <c r="F299" s="1501" t="s">
        <v>49</v>
      </c>
      <c r="G299" s="1498" t="s">
        <v>34</v>
      </c>
      <c r="H299" s="1499" t="s">
        <v>1029</v>
      </c>
      <c r="I299" s="1502">
        <v>45901</v>
      </c>
      <c r="J299" s="1511" t="s">
        <v>125</v>
      </c>
      <c r="K299" s="1511" t="s">
        <v>125</v>
      </c>
      <c r="L299" s="653" t="s">
        <v>125</v>
      </c>
      <c r="M299" s="653" t="e">
        <f>SUM(L299*20%)+L299</f>
        <v>#VALUE!</v>
      </c>
      <c r="N299" s="1502" t="s">
        <v>98</v>
      </c>
      <c r="O299" s="1502" t="s">
        <v>144</v>
      </c>
      <c r="P299" s="1500" t="s">
        <v>125</v>
      </c>
    </row>
    <row r="300" spans="1:16" ht="27" customHeight="1">
      <c r="A300" s="1500" t="s">
        <v>48</v>
      </c>
      <c r="B300" s="1500" t="s">
        <v>125</v>
      </c>
      <c r="C300" s="1501" t="s">
        <v>60</v>
      </c>
      <c r="D300" s="1498" t="s">
        <v>61</v>
      </c>
      <c r="E300" s="1527" t="s">
        <v>126</v>
      </c>
      <c r="F300" s="1501" t="s">
        <v>127</v>
      </c>
      <c r="G300" s="1500" t="s">
        <v>34</v>
      </c>
      <c r="H300" s="1519" t="s">
        <v>942</v>
      </c>
      <c r="I300" s="1515">
        <v>45843</v>
      </c>
      <c r="J300" s="1516" t="s">
        <v>125</v>
      </c>
      <c r="K300" s="1516" t="s">
        <v>125</v>
      </c>
      <c r="L300" s="653" t="s">
        <v>125</v>
      </c>
      <c r="M300" s="653" t="e">
        <f>SUM(L300*20%)+L300</f>
        <v>#VALUE!</v>
      </c>
      <c r="N300" s="1502" t="s">
        <v>129</v>
      </c>
      <c r="O300" s="1502" t="s">
        <v>144</v>
      </c>
      <c r="P300" s="1502" t="s">
        <v>125</v>
      </c>
    </row>
    <row r="301" spans="1:16" ht="27" customHeight="1">
      <c r="A301" s="1500" t="s">
        <v>48</v>
      </c>
      <c r="B301" s="1500" t="s">
        <v>125</v>
      </c>
      <c r="C301" s="1501" t="s">
        <v>29</v>
      </c>
      <c r="D301" s="1501" t="s">
        <v>31</v>
      </c>
      <c r="E301" s="1527" t="s">
        <v>32</v>
      </c>
      <c r="F301" s="1501" t="s">
        <v>49</v>
      </c>
      <c r="G301" s="1498" t="s">
        <v>34</v>
      </c>
      <c r="H301" s="1499" t="s">
        <v>1038</v>
      </c>
      <c r="I301" s="1502">
        <v>46054</v>
      </c>
      <c r="J301" s="1511" t="s">
        <v>125</v>
      </c>
      <c r="K301" s="1511" t="s">
        <v>125</v>
      </c>
      <c r="L301" s="653" t="s">
        <v>125</v>
      </c>
      <c r="M301" s="653" t="e">
        <f>SUM(L301*20%)+L301</f>
        <v>#VALUE!</v>
      </c>
      <c r="N301" s="1502" t="s">
        <v>98</v>
      </c>
      <c r="O301" s="1502" t="s">
        <v>144</v>
      </c>
      <c r="P301" s="1500" t="s">
        <v>125</v>
      </c>
    </row>
    <row r="302" spans="1:16" ht="27" customHeight="1">
      <c r="A302" s="1500" t="s">
        <v>48</v>
      </c>
      <c r="B302" s="1500" t="s">
        <v>125</v>
      </c>
      <c r="C302" s="1529" t="s">
        <v>214</v>
      </c>
      <c r="D302" s="1498" t="s">
        <v>31</v>
      </c>
      <c r="E302" s="1499" t="s">
        <v>32</v>
      </c>
      <c r="F302" s="1501" t="s">
        <v>127</v>
      </c>
      <c r="G302" s="1500" t="s">
        <v>34</v>
      </c>
      <c r="H302" s="1520" t="s">
        <v>1052</v>
      </c>
      <c r="I302" s="1515" t="s">
        <v>125</v>
      </c>
      <c r="J302" s="1516" t="s">
        <v>125</v>
      </c>
      <c r="K302" s="1516" t="s">
        <v>125</v>
      </c>
      <c r="L302" s="653" t="s">
        <v>125</v>
      </c>
      <c r="M302" s="653" t="e">
        <f>SUM(L302*20%)+L302</f>
        <v>#VALUE!</v>
      </c>
      <c r="N302" s="1502" t="s">
        <v>109</v>
      </c>
      <c r="O302" s="1502" t="s">
        <v>43</v>
      </c>
      <c r="P302" s="1502" t="s">
        <v>100</v>
      </c>
    </row>
    <row r="303" spans="1:16" ht="27" customHeight="1">
      <c r="A303" s="1501" t="s">
        <v>48</v>
      </c>
      <c r="B303" s="1501" t="s">
        <v>35</v>
      </c>
      <c r="C303" s="1498" t="s">
        <v>60</v>
      </c>
      <c r="D303" s="1498" t="s">
        <v>61</v>
      </c>
      <c r="E303" s="1527" t="s">
        <v>126</v>
      </c>
      <c r="F303" s="1498" t="s">
        <v>483</v>
      </c>
      <c r="G303" s="1498" t="s">
        <v>34</v>
      </c>
      <c r="H303" s="1520" t="s">
        <v>1054</v>
      </c>
      <c r="I303" s="1513" t="s">
        <v>125</v>
      </c>
      <c r="J303" s="1501" t="s">
        <v>125</v>
      </c>
      <c r="K303" s="1501" t="s">
        <v>125</v>
      </c>
      <c r="L303" s="653" t="s">
        <v>35</v>
      </c>
      <c r="M303" s="653" t="e">
        <f>SUM(L303*20%)+L303</f>
        <v>#VALUE!</v>
      </c>
      <c r="N303" s="1514" t="s">
        <v>125</v>
      </c>
      <c r="O303" s="1502" t="s">
        <v>144</v>
      </c>
      <c r="P303" s="1502" t="s">
        <v>125</v>
      </c>
    </row>
    <row r="304" spans="1:16" ht="27" customHeight="1">
      <c r="A304" s="1497" t="s">
        <v>28</v>
      </c>
      <c r="B304" s="1498" t="s">
        <v>35</v>
      </c>
      <c r="C304" s="1498" t="s">
        <v>29</v>
      </c>
      <c r="D304" s="1498" t="s">
        <v>31</v>
      </c>
      <c r="E304" s="1499" t="s">
        <v>69</v>
      </c>
      <c r="F304" s="1498" t="s">
        <v>70</v>
      </c>
      <c r="G304" s="1498" t="s">
        <v>34</v>
      </c>
      <c r="H304" s="1499" t="s">
        <v>666</v>
      </c>
      <c r="I304" s="1504">
        <v>45047</v>
      </c>
      <c r="J304" s="1498">
        <v>36</v>
      </c>
      <c r="K304" s="1512" t="s">
        <v>488</v>
      </c>
      <c r="L304" s="653">
        <v>760731</v>
      </c>
      <c r="M304" s="653">
        <f>SUM(L304*20%)+L304</f>
        <v>912877.2</v>
      </c>
      <c r="N304" s="1497" t="s">
        <v>4463</v>
      </c>
      <c r="O304" s="1498" t="s">
        <v>667</v>
      </c>
      <c r="P304" s="1502">
        <v>45027</v>
      </c>
    </row>
    <row r="305" spans="1:16" ht="27" customHeight="1">
      <c r="A305" s="1497" t="s">
        <v>28</v>
      </c>
      <c r="B305" s="1498">
        <v>64316</v>
      </c>
      <c r="C305" s="1498" t="s">
        <v>105</v>
      </c>
      <c r="D305" s="1498" t="s">
        <v>86</v>
      </c>
      <c r="E305" s="1499" t="s">
        <v>69</v>
      </c>
      <c r="F305" s="1498" t="s">
        <v>70</v>
      </c>
      <c r="G305" s="1498" t="s">
        <v>34</v>
      </c>
      <c r="H305" s="1499" t="s">
        <v>501</v>
      </c>
      <c r="I305" s="1504">
        <v>45067</v>
      </c>
      <c r="J305" s="1498">
        <v>36</v>
      </c>
      <c r="K305" s="1512" t="s">
        <v>236</v>
      </c>
      <c r="L305" s="653">
        <v>300000</v>
      </c>
      <c r="M305" s="653">
        <f>IF(ISNUMBER(L305),SUM(L305*20%)+L305,"")</f>
        <v>360000</v>
      </c>
      <c r="N305" s="1498" t="s">
        <v>98</v>
      </c>
      <c r="O305" s="1504" t="s">
        <v>36</v>
      </c>
      <c r="P305" s="1498" t="s">
        <v>43</v>
      </c>
    </row>
    <row r="306" spans="1:16" ht="27" customHeight="1">
      <c r="A306" s="1497" t="s">
        <v>28</v>
      </c>
      <c r="B306" s="1498" t="s">
        <v>238</v>
      </c>
      <c r="C306" s="1498" t="s">
        <v>29</v>
      </c>
      <c r="D306" s="1498" t="s">
        <v>31</v>
      </c>
      <c r="E306" s="1499" t="s">
        <v>69</v>
      </c>
      <c r="F306" s="1498" t="s">
        <v>70</v>
      </c>
      <c r="G306" s="1498" t="s">
        <v>64</v>
      </c>
      <c r="H306" s="1499" t="s">
        <v>239</v>
      </c>
      <c r="I306" s="1504">
        <v>45070</v>
      </c>
      <c r="J306" s="1498">
        <v>48</v>
      </c>
      <c r="K306" s="1498" t="s">
        <v>240</v>
      </c>
      <c r="L306" s="653">
        <v>63312</v>
      </c>
      <c r="M306" s="653">
        <f>IF(ISNUMBER(L306),SUM(L306*20%)+L306,"")</f>
        <v>75974.399999999994</v>
      </c>
      <c r="N306" s="1498" t="s">
        <v>66</v>
      </c>
      <c r="O306" s="1503" t="s">
        <v>36</v>
      </c>
      <c r="P306" s="1503" t="s">
        <v>37</v>
      </c>
    </row>
    <row r="307" spans="1:16" ht="27" customHeight="1">
      <c r="A307" s="1501" t="s">
        <v>28</v>
      </c>
      <c r="B307" s="1501" t="s">
        <v>35</v>
      </c>
      <c r="C307" s="1498" t="s">
        <v>60</v>
      </c>
      <c r="D307" s="1498" t="s">
        <v>61</v>
      </c>
      <c r="E307" s="1527" t="s">
        <v>170</v>
      </c>
      <c r="F307" s="1498" t="s">
        <v>171</v>
      </c>
      <c r="G307" s="1498" t="s">
        <v>34</v>
      </c>
      <c r="H307" s="1499" t="s">
        <v>400</v>
      </c>
      <c r="I307" s="1525">
        <v>45078</v>
      </c>
      <c r="J307" s="1501">
        <v>48</v>
      </c>
      <c r="K307" s="1501" t="s">
        <v>191</v>
      </c>
      <c r="L307" s="653">
        <v>140000</v>
      </c>
      <c r="M307" s="653">
        <f>IF(ISNUMBER(L307),SUM(L307*20%)+L307,"")</f>
        <v>168000</v>
      </c>
      <c r="N307" s="1498" t="s">
        <v>173</v>
      </c>
      <c r="O307" s="1498" t="s">
        <v>36</v>
      </c>
      <c r="P307" s="1498" t="s">
        <v>43</v>
      </c>
    </row>
    <row r="308" spans="1:16" ht="27" customHeight="1">
      <c r="A308" s="1497" t="s">
        <v>28</v>
      </c>
      <c r="B308" s="1497" t="s">
        <v>287</v>
      </c>
      <c r="C308" s="1498" t="s">
        <v>29</v>
      </c>
      <c r="D308" s="1498" t="s">
        <v>31</v>
      </c>
      <c r="E308" s="1499" t="s">
        <v>69</v>
      </c>
      <c r="F308" s="1498" t="s">
        <v>70</v>
      </c>
      <c r="G308" s="1498" t="s">
        <v>64</v>
      </c>
      <c r="H308" s="1508" t="s">
        <v>288</v>
      </c>
      <c r="I308" s="1504">
        <v>45133</v>
      </c>
      <c r="J308" s="1498">
        <v>48</v>
      </c>
      <c r="K308" s="1502" t="s">
        <v>289</v>
      </c>
      <c r="L308" s="653">
        <v>80000</v>
      </c>
      <c r="M308" s="653">
        <f>IF(ISNUMBER(L308),SUM(L308*20%)+L308,"")</f>
        <v>96000</v>
      </c>
      <c r="N308" s="1498" t="s">
        <v>66</v>
      </c>
      <c r="O308" s="1498" t="s">
        <v>54</v>
      </c>
      <c r="P308" s="1498" t="s">
        <v>37</v>
      </c>
    </row>
    <row r="309" spans="1:16" ht="27" customHeight="1">
      <c r="A309" s="1497" t="s">
        <v>28</v>
      </c>
      <c r="B309" s="1498"/>
      <c r="C309" s="1498" t="s">
        <v>29</v>
      </c>
      <c r="D309" s="1498" t="s">
        <v>31</v>
      </c>
      <c r="E309" s="1508" t="s">
        <v>32</v>
      </c>
      <c r="F309" s="1498" t="s">
        <v>563</v>
      </c>
      <c r="G309" s="1498" t="s">
        <v>34</v>
      </c>
      <c r="H309" s="1499" t="s">
        <v>871</v>
      </c>
      <c r="I309" s="1504">
        <v>45139</v>
      </c>
      <c r="J309" s="1498" t="s">
        <v>35</v>
      </c>
      <c r="K309" s="1498" t="s">
        <v>35</v>
      </c>
      <c r="L309" s="653" t="s">
        <v>872</v>
      </c>
      <c r="M309" s="653" t="e">
        <f>SUM(L309*20%)+L309</f>
        <v>#VALUE!</v>
      </c>
      <c r="N309" s="1498" t="s">
        <v>35</v>
      </c>
      <c r="O309" s="1498" t="s">
        <v>873</v>
      </c>
      <c r="P309" s="1566">
        <v>45014</v>
      </c>
    </row>
    <row r="310" spans="1:16" ht="27" customHeight="1">
      <c r="A310" s="1497" t="s">
        <v>28</v>
      </c>
      <c r="B310" s="1498" t="s">
        <v>35</v>
      </c>
      <c r="C310" s="1498" t="s">
        <v>29</v>
      </c>
      <c r="D310" s="1498" t="s">
        <v>92</v>
      </c>
      <c r="E310" s="1499" t="s">
        <v>69</v>
      </c>
      <c r="F310" s="1498" t="s">
        <v>70</v>
      </c>
      <c r="G310" s="1498" t="s">
        <v>34</v>
      </c>
      <c r="H310" s="1499" t="s">
        <v>910</v>
      </c>
      <c r="I310" s="1504">
        <v>45139</v>
      </c>
      <c r="J310" s="1498" t="s">
        <v>35</v>
      </c>
      <c r="K310" s="1512" t="s">
        <v>35</v>
      </c>
      <c r="L310" s="653" t="s">
        <v>35</v>
      </c>
      <c r="M310" s="653" t="e">
        <f>SUM(L310*20%)+L310</f>
        <v>#VALUE!</v>
      </c>
      <c r="N310" s="1498" t="s">
        <v>35</v>
      </c>
      <c r="O310" s="1498" t="s">
        <v>35</v>
      </c>
      <c r="P310" s="1498" t="s">
        <v>35</v>
      </c>
    </row>
    <row r="311" spans="1:16" ht="27" customHeight="1">
      <c r="A311" s="1497" t="s">
        <v>28</v>
      </c>
      <c r="B311" s="1498" t="s">
        <v>608</v>
      </c>
      <c r="C311" s="1498" t="s">
        <v>29</v>
      </c>
      <c r="D311" s="1498" t="s">
        <v>86</v>
      </c>
      <c r="E311" s="1499" t="s">
        <v>119</v>
      </c>
      <c r="F311" s="1498" t="s">
        <v>609</v>
      </c>
      <c r="G311" s="1498" t="s">
        <v>64</v>
      </c>
      <c r="H311" s="1499" t="s">
        <v>610</v>
      </c>
      <c r="I311" s="1504">
        <v>45147</v>
      </c>
      <c r="J311" s="1498">
        <v>48</v>
      </c>
      <c r="K311" s="1498" t="s">
        <v>240</v>
      </c>
      <c r="L311" s="653">
        <v>700000</v>
      </c>
      <c r="M311" s="653">
        <f>SUM(L311*20%)+L311</f>
        <v>840000</v>
      </c>
      <c r="N311" s="1498" t="s">
        <v>66</v>
      </c>
      <c r="O311" s="1506" t="s">
        <v>144</v>
      </c>
      <c r="P311" s="1498">
        <v>44406</v>
      </c>
    </row>
    <row r="312" spans="1:16" ht="27" customHeight="1">
      <c r="A312" s="1497" t="s">
        <v>28</v>
      </c>
      <c r="B312" s="1498" t="s">
        <v>37</v>
      </c>
      <c r="C312" s="1498" t="s">
        <v>29</v>
      </c>
      <c r="D312" s="1498" t="s">
        <v>31</v>
      </c>
      <c r="E312" s="1499" t="s">
        <v>32</v>
      </c>
      <c r="F312" s="1498" t="s">
        <v>969</v>
      </c>
      <c r="G312" s="1498" t="s">
        <v>34</v>
      </c>
      <c r="H312" s="1499" t="s">
        <v>970</v>
      </c>
      <c r="I312" s="1504">
        <v>45156</v>
      </c>
      <c r="J312" s="1498" t="s">
        <v>35</v>
      </c>
      <c r="K312" s="1512" t="s">
        <v>35</v>
      </c>
      <c r="L312" s="653" t="s">
        <v>35</v>
      </c>
      <c r="M312" s="653" t="e">
        <f>SUM(L312*20%)+L312</f>
        <v>#VALUE!</v>
      </c>
      <c r="N312" s="1498" t="s">
        <v>109</v>
      </c>
      <c r="O312" s="1506" t="s">
        <v>54</v>
      </c>
      <c r="P312" s="1502" t="s">
        <v>37</v>
      </c>
    </row>
    <row r="313" spans="1:16" ht="27" customHeight="1">
      <c r="A313" s="1497" t="s">
        <v>28</v>
      </c>
      <c r="B313" s="1498"/>
      <c r="C313" s="1498" t="s">
        <v>29</v>
      </c>
      <c r="D313" s="1498" t="s">
        <v>31</v>
      </c>
      <c r="E313" s="1499" t="s">
        <v>69</v>
      </c>
      <c r="F313" s="1498" t="s">
        <v>70</v>
      </c>
      <c r="G313" s="1498" t="s">
        <v>34</v>
      </c>
      <c r="H313" s="1499" t="s">
        <v>786</v>
      </c>
      <c r="I313" s="1504">
        <v>45170</v>
      </c>
      <c r="J313" s="1498">
        <v>5</v>
      </c>
      <c r="K313" s="1512" t="s">
        <v>545</v>
      </c>
      <c r="L313" s="653">
        <v>5000000</v>
      </c>
      <c r="M313" s="653">
        <f>SUM(L313*20%)+L313</f>
        <v>6000000</v>
      </c>
      <c r="N313" s="1498" t="s">
        <v>98</v>
      </c>
      <c r="O313" s="1498" t="s">
        <v>41</v>
      </c>
      <c r="P313" s="1503" t="s">
        <v>35</v>
      </c>
    </row>
    <row r="314" spans="1:16" ht="27" customHeight="1">
      <c r="A314" s="1497" t="s">
        <v>28</v>
      </c>
      <c r="B314" s="1498" t="s">
        <v>455</v>
      </c>
      <c r="C314" s="1498" t="s">
        <v>60</v>
      </c>
      <c r="D314" s="1498" t="s">
        <v>61</v>
      </c>
      <c r="E314" s="1499" t="s">
        <v>180</v>
      </c>
      <c r="F314" s="1498" t="s">
        <v>63</v>
      </c>
      <c r="G314" s="1498" t="s">
        <v>64</v>
      </c>
      <c r="H314" s="1499" t="s">
        <v>456</v>
      </c>
      <c r="I314" s="1504">
        <v>45176</v>
      </c>
      <c r="J314" s="1498">
        <v>60</v>
      </c>
      <c r="K314" s="1498" t="s">
        <v>351</v>
      </c>
      <c r="L314" s="653">
        <v>198500</v>
      </c>
      <c r="M314" s="653">
        <f>IF(ISNUMBER(L314),SUM(L314*20%)+L314,"")</f>
        <v>238200</v>
      </c>
      <c r="N314" s="1498" t="s">
        <v>66</v>
      </c>
      <c r="O314" s="1504" t="s">
        <v>36</v>
      </c>
      <c r="P314" s="1504" t="s">
        <v>37</v>
      </c>
    </row>
    <row r="315" spans="1:16" ht="27" customHeight="1">
      <c r="A315" s="1497" t="s">
        <v>28</v>
      </c>
      <c r="B315" s="1498" t="s">
        <v>401</v>
      </c>
      <c r="C315" s="1498" t="s">
        <v>29</v>
      </c>
      <c r="D315" s="1498" t="s">
        <v>86</v>
      </c>
      <c r="E315" s="1499" t="s">
        <v>69</v>
      </c>
      <c r="F315" s="1498" t="s">
        <v>70</v>
      </c>
      <c r="G315" s="1498" t="s">
        <v>34</v>
      </c>
      <c r="H315" s="1499" t="s">
        <v>402</v>
      </c>
      <c r="I315" s="1504">
        <v>45200</v>
      </c>
      <c r="J315" s="1498" t="s">
        <v>35</v>
      </c>
      <c r="K315" s="1498" t="s">
        <v>35</v>
      </c>
      <c r="L315" s="653">
        <v>140000</v>
      </c>
      <c r="M315" s="653">
        <f>IF(ISNUMBER(L315),SUM(L315*20%)+L315,"")</f>
        <v>168000</v>
      </c>
      <c r="N315" s="1498" t="s">
        <v>35</v>
      </c>
      <c r="O315" s="1498" t="s">
        <v>35</v>
      </c>
      <c r="P315" s="1498" t="s">
        <v>35</v>
      </c>
    </row>
    <row r="316" spans="1:16" ht="27" customHeight="1">
      <c r="A316" s="1497" t="s">
        <v>28</v>
      </c>
      <c r="B316" s="1498" t="s">
        <v>35</v>
      </c>
      <c r="C316" s="1498" t="s">
        <v>29</v>
      </c>
      <c r="D316" s="1498" t="s">
        <v>31</v>
      </c>
      <c r="E316" s="1499" t="s">
        <v>69</v>
      </c>
      <c r="F316" s="1498" t="s">
        <v>70</v>
      </c>
      <c r="G316" s="1498" t="s">
        <v>34</v>
      </c>
      <c r="H316" s="1499" t="s">
        <v>539</v>
      </c>
      <c r="I316" s="1504">
        <v>45200</v>
      </c>
      <c r="J316" s="1498">
        <v>24</v>
      </c>
      <c r="K316" s="1512" t="s">
        <v>365</v>
      </c>
      <c r="L316" s="653">
        <v>400000</v>
      </c>
      <c r="M316" s="653">
        <f>SUM(L316*20%)+L316</f>
        <v>480000</v>
      </c>
      <c r="N316" s="1498" t="s">
        <v>46</v>
      </c>
      <c r="O316" s="1498" t="s">
        <v>54</v>
      </c>
      <c r="P316" s="1498" t="s">
        <v>540</v>
      </c>
    </row>
    <row r="317" spans="1:16" ht="27" customHeight="1">
      <c r="A317" s="1497" t="s">
        <v>28</v>
      </c>
      <c r="B317" s="1498" t="s">
        <v>35</v>
      </c>
      <c r="C317" s="1498" t="s">
        <v>29</v>
      </c>
      <c r="D317" s="1498" t="s">
        <v>31</v>
      </c>
      <c r="E317" s="1499" t="s">
        <v>75</v>
      </c>
      <c r="F317" s="1498" t="s">
        <v>76</v>
      </c>
      <c r="G317" s="1498" t="s">
        <v>34</v>
      </c>
      <c r="H317" s="1499" t="s">
        <v>930</v>
      </c>
      <c r="I317" s="1504">
        <v>45200</v>
      </c>
      <c r="J317" s="1498" t="s">
        <v>35</v>
      </c>
      <c r="K317" s="1512" t="s">
        <v>35</v>
      </c>
      <c r="L317" s="653" t="s">
        <v>35</v>
      </c>
      <c r="M317" s="653" t="e">
        <f>SUM(L317*20%)+L317</f>
        <v>#VALUE!</v>
      </c>
      <c r="N317" s="1498" t="s">
        <v>35</v>
      </c>
      <c r="O317" s="1503" t="s">
        <v>36</v>
      </c>
      <c r="P317" s="1503" t="s">
        <v>37</v>
      </c>
    </row>
    <row r="318" spans="1:16" ht="27" customHeight="1">
      <c r="A318" s="1497" t="s">
        <v>28</v>
      </c>
      <c r="B318" s="1498"/>
      <c r="C318" s="1498" t="s">
        <v>29</v>
      </c>
      <c r="D318" s="1498" t="s">
        <v>31</v>
      </c>
      <c r="E318" s="1499" t="s">
        <v>69</v>
      </c>
      <c r="F318" s="1498" t="s">
        <v>70</v>
      </c>
      <c r="G318" s="1538" t="s">
        <v>34</v>
      </c>
      <c r="H318" s="1499" t="s">
        <v>967</v>
      </c>
      <c r="I318" s="1504">
        <v>45200</v>
      </c>
      <c r="J318" s="1498">
        <v>12</v>
      </c>
      <c r="K318" s="1512" t="s">
        <v>108</v>
      </c>
      <c r="L318" s="653" t="s">
        <v>35</v>
      </c>
      <c r="M318" s="653" t="e">
        <f>SUM(L318*20%)+L318</f>
        <v>#VALUE!</v>
      </c>
      <c r="N318" s="1498" t="s">
        <v>35</v>
      </c>
      <c r="O318" s="1498" t="s">
        <v>54</v>
      </c>
      <c r="P318" s="1498" t="s">
        <v>37</v>
      </c>
    </row>
    <row r="319" spans="1:16" ht="27" customHeight="1">
      <c r="A319" s="1497" t="s">
        <v>28</v>
      </c>
      <c r="B319" s="1498" t="s">
        <v>508</v>
      </c>
      <c r="C319" s="1498" t="s">
        <v>29</v>
      </c>
      <c r="D319" s="1498" t="s">
        <v>31</v>
      </c>
      <c r="E319" s="1499" t="s">
        <v>69</v>
      </c>
      <c r="F319" s="1498" t="s">
        <v>70</v>
      </c>
      <c r="G319" s="1498" t="s">
        <v>64</v>
      </c>
      <c r="H319" s="1499" t="s">
        <v>509</v>
      </c>
      <c r="I319" s="1504">
        <v>45202</v>
      </c>
      <c r="J319" s="1498">
        <v>37</v>
      </c>
      <c r="K319" s="1497" t="s">
        <v>332</v>
      </c>
      <c r="L319" s="653">
        <v>309075</v>
      </c>
      <c r="M319" s="653">
        <f>IF(ISNUMBER(L319),SUM(L319*20%)+L319,"")</f>
        <v>370890</v>
      </c>
      <c r="N319" s="1498" t="s">
        <v>66</v>
      </c>
      <c r="O319" s="1517" t="s">
        <v>36</v>
      </c>
      <c r="P319" s="1498" t="s">
        <v>37</v>
      </c>
    </row>
    <row r="320" spans="1:16" ht="27" customHeight="1">
      <c r="A320" s="1497" t="s">
        <v>28</v>
      </c>
      <c r="B320" s="1498" t="s">
        <v>35</v>
      </c>
      <c r="C320" s="1498" t="s">
        <v>60</v>
      </c>
      <c r="D320" s="1501" t="s">
        <v>61</v>
      </c>
      <c r="E320" s="1499" t="s">
        <v>69</v>
      </c>
      <c r="F320" s="1498" t="s">
        <v>70</v>
      </c>
      <c r="G320" s="1498" t="s">
        <v>34</v>
      </c>
      <c r="H320" s="1499" t="s">
        <v>920</v>
      </c>
      <c r="I320" s="1504">
        <v>45226</v>
      </c>
      <c r="J320" s="1498">
        <v>48</v>
      </c>
      <c r="K320" s="1498">
        <v>48</v>
      </c>
      <c r="L320" s="653" t="s">
        <v>35</v>
      </c>
      <c r="M320" s="653" t="e">
        <f>SUM(L320*20%)+L320</f>
        <v>#VALUE!</v>
      </c>
      <c r="N320" s="1497" t="s">
        <v>4463</v>
      </c>
      <c r="O320" s="1517" t="s">
        <v>36</v>
      </c>
      <c r="P320" s="1498" t="s">
        <v>43</v>
      </c>
    </row>
    <row r="321" spans="1:16" ht="27" customHeight="1">
      <c r="A321" s="1497" t="s">
        <v>28</v>
      </c>
      <c r="B321" s="1498"/>
      <c r="C321" s="1498" t="s">
        <v>29</v>
      </c>
      <c r="D321" s="1498" t="s">
        <v>31</v>
      </c>
      <c r="E321" s="1499" t="s">
        <v>69</v>
      </c>
      <c r="F321" s="1498" t="s">
        <v>70</v>
      </c>
      <c r="G321" s="1498" t="s">
        <v>34</v>
      </c>
      <c r="H321" s="1499" t="s">
        <v>71</v>
      </c>
      <c r="I321" s="1504">
        <v>45231</v>
      </c>
      <c r="J321" s="1498" t="s">
        <v>35</v>
      </c>
      <c r="K321" s="1512" t="s">
        <v>35</v>
      </c>
      <c r="L321" s="653" t="s">
        <v>35</v>
      </c>
      <c r="M321" s="653" t="str">
        <f>IF(ISNUMBER(L321),SUM(L321*20%)+L321,"")</f>
        <v/>
      </c>
      <c r="N321" s="1498" t="s">
        <v>35</v>
      </c>
      <c r="O321" s="1498" t="s">
        <v>54</v>
      </c>
      <c r="P321" s="1498" t="s">
        <v>37</v>
      </c>
    </row>
    <row r="322" spans="1:16" ht="27" customHeight="1">
      <c r="A322" s="1497" t="s">
        <v>28</v>
      </c>
      <c r="B322" s="1498" t="s">
        <v>35</v>
      </c>
      <c r="C322" s="1498" t="s">
        <v>29</v>
      </c>
      <c r="D322" s="1498" t="s">
        <v>82</v>
      </c>
      <c r="E322" s="1499" t="s">
        <v>69</v>
      </c>
      <c r="F322" s="1498" t="s">
        <v>70</v>
      </c>
      <c r="G322" s="1498" t="s">
        <v>34</v>
      </c>
      <c r="H322" s="1499" t="s">
        <v>83</v>
      </c>
      <c r="I322" s="1504">
        <v>45231</v>
      </c>
      <c r="J322" s="1498" t="s">
        <v>35</v>
      </c>
      <c r="K322" s="1497" t="s">
        <v>35</v>
      </c>
      <c r="L322" s="653" t="s">
        <v>35</v>
      </c>
      <c r="M322" s="653" t="str">
        <f>IF(ISNUMBER(L322),SUM(L322*20%)+L322,"")</f>
        <v/>
      </c>
      <c r="N322" s="1498" t="s">
        <v>35</v>
      </c>
      <c r="O322" s="1505" t="s">
        <v>54</v>
      </c>
      <c r="P322" s="1498" t="s">
        <v>37</v>
      </c>
    </row>
    <row r="323" spans="1:16" ht="27" customHeight="1">
      <c r="A323" s="1497" t="s">
        <v>28</v>
      </c>
      <c r="B323" s="1498" t="s">
        <v>361</v>
      </c>
      <c r="C323" s="1498" t="s">
        <v>29</v>
      </c>
      <c r="D323" s="1498" t="s">
        <v>86</v>
      </c>
      <c r="E323" s="1499" t="s">
        <v>119</v>
      </c>
      <c r="F323" s="1498" t="s">
        <v>119</v>
      </c>
      <c r="G323" s="1498" t="s">
        <v>34</v>
      </c>
      <c r="H323" s="1499" t="s">
        <v>362</v>
      </c>
      <c r="I323" s="1504">
        <v>45231</v>
      </c>
      <c r="J323" s="1498"/>
      <c r="K323" s="1512"/>
      <c r="L323" s="653">
        <v>120000</v>
      </c>
      <c r="M323" s="653">
        <f>IF(ISNUMBER(L323),SUM(L323*20%)+L323,"")</f>
        <v>144000</v>
      </c>
      <c r="N323" s="1498" t="s">
        <v>35</v>
      </c>
      <c r="O323" s="1498" t="s">
        <v>36</v>
      </c>
      <c r="P323" s="1498" t="s">
        <v>37</v>
      </c>
    </row>
    <row r="324" spans="1:16" ht="27" customHeight="1">
      <c r="A324" s="1497" t="s">
        <v>28</v>
      </c>
      <c r="B324" s="1498" t="s">
        <v>35</v>
      </c>
      <c r="C324" s="1498" t="s">
        <v>29</v>
      </c>
      <c r="D324" s="1498" t="s">
        <v>31</v>
      </c>
      <c r="E324" s="1499" t="s">
        <v>69</v>
      </c>
      <c r="F324" s="1498" t="s">
        <v>70</v>
      </c>
      <c r="G324" s="1498" t="s">
        <v>34</v>
      </c>
      <c r="H324" s="1499" t="s">
        <v>922</v>
      </c>
      <c r="I324" s="1504">
        <v>45231</v>
      </c>
      <c r="J324" s="1498">
        <v>48</v>
      </c>
      <c r="K324" s="1498" t="s">
        <v>191</v>
      </c>
      <c r="L324" s="653" t="s">
        <v>35</v>
      </c>
      <c r="M324" s="653" t="e">
        <f>SUM(L324*20%)+L324</f>
        <v>#VALUE!</v>
      </c>
      <c r="N324" s="1498" t="s">
        <v>35</v>
      </c>
      <c r="O324" s="1498" t="s">
        <v>35</v>
      </c>
      <c r="P324" s="1498" t="s">
        <v>35</v>
      </c>
    </row>
    <row r="325" spans="1:16" ht="27" customHeight="1">
      <c r="A325" s="1497" t="s">
        <v>28</v>
      </c>
      <c r="B325" s="1498">
        <v>48830</v>
      </c>
      <c r="C325" s="1498" t="s">
        <v>29</v>
      </c>
      <c r="D325" s="1498" t="s">
        <v>31</v>
      </c>
      <c r="E325" s="1499" t="s">
        <v>69</v>
      </c>
      <c r="F325" s="1498" t="s">
        <v>70</v>
      </c>
      <c r="G325" s="1498" t="s">
        <v>34</v>
      </c>
      <c r="H325" s="1499" t="s">
        <v>297</v>
      </c>
      <c r="I325" s="1504">
        <v>45255</v>
      </c>
      <c r="J325" s="1498">
        <v>48</v>
      </c>
      <c r="K325" s="1498" t="s">
        <v>298</v>
      </c>
      <c r="L325" s="653">
        <v>87536</v>
      </c>
      <c r="M325" s="653">
        <f>IF(ISNUMBER(L325),SUM(L325*20%)+L325,"")</f>
        <v>105043.2</v>
      </c>
      <c r="N325" s="1497" t="s">
        <v>4463</v>
      </c>
      <c r="O325" s="1506" t="s">
        <v>36</v>
      </c>
      <c r="P325" s="1498" t="s">
        <v>37</v>
      </c>
    </row>
    <row r="326" spans="1:16" ht="27" customHeight="1">
      <c r="A326" s="1497" t="s">
        <v>28</v>
      </c>
      <c r="B326" s="1498" t="s">
        <v>35</v>
      </c>
      <c r="C326" s="1498" t="s">
        <v>60</v>
      </c>
      <c r="D326" s="1501" t="s">
        <v>61</v>
      </c>
      <c r="E326" s="1527" t="s">
        <v>170</v>
      </c>
      <c r="F326" s="1498" t="s">
        <v>171</v>
      </c>
      <c r="G326" s="1498" t="s">
        <v>34</v>
      </c>
      <c r="H326" s="1499" t="s">
        <v>172</v>
      </c>
      <c r="I326" s="1504">
        <v>45261</v>
      </c>
      <c r="J326" s="1501">
        <v>6</v>
      </c>
      <c r="K326" s="1521">
        <v>6</v>
      </c>
      <c r="L326" s="653">
        <v>50000</v>
      </c>
      <c r="M326" s="653">
        <f>IF(ISNUMBER(L326),SUM(L326*20%)+L326,"")</f>
        <v>60000</v>
      </c>
      <c r="N326" s="1498" t="s">
        <v>173</v>
      </c>
      <c r="O326" s="1517" t="s">
        <v>54</v>
      </c>
      <c r="P326" s="1502" t="s">
        <v>37</v>
      </c>
    </row>
    <row r="327" spans="1:16" ht="27" customHeight="1">
      <c r="A327" s="1497" t="s">
        <v>28</v>
      </c>
      <c r="B327" s="1498" t="s">
        <v>35</v>
      </c>
      <c r="C327" s="1498" t="s">
        <v>29</v>
      </c>
      <c r="D327" s="1498" t="s">
        <v>61</v>
      </c>
      <c r="E327" s="1499" t="s">
        <v>69</v>
      </c>
      <c r="F327" s="1498" t="s">
        <v>70</v>
      </c>
      <c r="G327" s="1498" t="s">
        <v>34</v>
      </c>
      <c r="H327" s="1499" t="s">
        <v>669</v>
      </c>
      <c r="I327" s="1504">
        <v>45261</v>
      </c>
      <c r="J327" s="1498">
        <v>48</v>
      </c>
      <c r="K327" s="1498" t="s">
        <v>298</v>
      </c>
      <c r="L327" s="653">
        <v>1073000</v>
      </c>
      <c r="M327" s="653">
        <f>SUM(L327*20%)+L327</f>
        <v>1287600</v>
      </c>
      <c r="N327" s="1497" t="s">
        <v>4463</v>
      </c>
      <c r="O327" s="1498" t="s">
        <v>144</v>
      </c>
      <c r="P327" s="1502">
        <v>45044</v>
      </c>
    </row>
    <row r="328" spans="1:16" ht="27" customHeight="1">
      <c r="A328" s="1497" t="s">
        <v>28</v>
      </c>
      <c r="B328" s="1498" t="s">
        <v>35</v>
      </c>
      <c r="C328" s="1498" t="s">
        <v>29</v>
      </c>
      <c r="D328" s="1498" t="s">
        <v>31</v>
      </c>
      <c r="E328" s="1499" t="s">
        <v>69</v>
      </c>
      <c r="F328" s="1498" t="s">
        <v>70</v>
      </c>
      <c r="G328" s="1498" t="s">
        <v>34</v>
      </c>
      <c r="H328" s="1499" t="s">
        <v>982</v>
      </c>
      <c r="I328" s="1504">
        <v>45289</v>
      </c>
      <c r="J328" s="1498" t="s">
        <v>35</v>
      </c>
      <c r="K328" s="1512" t="s">
        <v>35</v>
      </c>
      <c r="L328" s="653" t="s">
        <v>35</v>
      </c>
      <c r="M328" s="653" t="e">
        <f>SUM(L328*20%)+L328</f>
        <v>#VALUE!</v>
      </c>
      <c r="N328" s="1498" t="s">
        <v>35</v>
      </c>
      <c r="O328" s="1498" t="s">
        <v>54</v>
      </c>
      <c r="P328" s="1498" t="s">
        <v>37</v>
      </c>
    </row>
    <row r="329" spans="1:16" ht="27" customHeight="1">
      <c r="A329" s="1497" t="s">
        <v>28</v>
      </c>
      <c r="B329" s="1498" t="s">
        <v>35</v>
      </c>
      <c r="C329" s="1498" t="s">
        <v>29</v>
      </c>
      <c r="D329" s="1498" t="s">
        <v>31</v>
      </c>
      <c r="E329" s="1499" t="s">
        <v>69</v>
      </c>
      <c r="F329" s="1498" t="s">
        <v>70</v>
      </c>
      <c r="G329" s="1498" t="s">
        <v>34</v>
      </c>
      <c r="H329" s="1518" t="s">
        <v>983</v>
      </c>
      <c r="I329" s="1504">
        <v>45290</v>
      </c>
      <c r="J329" s="1498" t="s">
        <v>35</v>
      </c>
      <c r="K329" s="1498" t="s">
        <v>35</v>
      </c>
      <c r="L329" s="653" t="s">
        <v>35</v>
      </c>
      <c r="M329" s="653" t="e">
        <f>SUM(L329*20%)+L329</f>
        <v>#VALUE!</v>
      </c>
      <c r="N329" s="1498" t="s">
        <v>35</v>
      </c>
      <c r="O329" s="1498" t="s">
        <v>54</v>
      </c>
      <c r="P329" s="1498" t="s">
        <v>37</v>
      </c>
    </row>
    <row r="330" spans="1:16" ht="27" customHeight="1">
      <c r="A330" s="1497" t="s">
        <v>28</v>
      </c>
      <c r="B330" s="1498" t="s">
        <v>35</v>
      </c>
      <c r="C330" s="1498" t="s">
        <v>29</v>
      </c>
      <c r="D330" s="1498" t="s">
        <v>31</v>
      </c>
      <c r="E330" s="1499" t="s">
        <v>75</v>
      </c>
      <c r="F330" s="1498" t="s">
        <v>378</v>
      </c>
      <c r="G330" s="1498" t="s">
        <v>64</v>
      </c>
      <c r="H330" s="1499" t="s">
        <v>379</v>
      </c>
      <c r="I330" s="1504">
        <v>45291</v>
      </c>
      <c r="J330" s="1498">
        <v>60</v>
      </c>
      <c r="K330" s="1512" t="s">
        <v>380</v>
      </c>
      <c r="L330" s="653">
        <v>130000</v>
      </c>
      <c r="M330" s="653">
        <f>IF(ISNUMBER(L330),SUM(L330*20%)+L330,"")</f>
        <v>156000</v>
      </c>
      <c r="N330" s="1497" t="s">
        <v>66</v>
      </c>
      <c r="O330" s="1503" t="s">
        <v>36</v>
      </c>
      <c r="P330" s="1503" t="s">
        <v>37</v>
      </c>
    </row>
    <row r="331" spans="1:16" ht="27" customHeight="1">
      <c r="A331" s="1497" t="s">
        <v>28</v>
      </c>
      <c r="B331" s="1497" t="s">
        <v>35</v>
      </c>
      <c r="C331" s="1498" t="s">
        <v>29</v>
      </c>
      <c r="D331" s="1498" t="s">
        <v>31</v>
      </c>
      <c r="E331" s="1499" t="s">
        <v>69</v>
      </c>
      <c r="F331" s="1498" t="s">
        <v>70</v>
      </c>
      <c r="G331" s="1498" t="s">
        <v>34</v>
      </c>
      <c r="H331" s="1499" t="s">
        <v>916</v>
      </c>
      <c r="I331" s="1504">
        <v>45292</v>
      </c>
      <c r="J331" s="1498" t="s">
        <v>35</v>
      </c>
      <c r="K331" s="1512" t="s">
        <v>35</v>
      </c>
      <c r="L331" s="653" t="s">
        <v>35</v>
      </c>
      <c r="M331" s="653" t="e">
        <f>SUM(L331*20%)+L331</f>
        <v>#VALUE!</v>
      </c>
      <c r="N331" s="1517" t="s">
        <v>35</v>
      </c>
      <c r="O331" s="1517" t="s">
        <v>35</v>
      </c>
      <c r="P331" s="1498" t="s">
        <v>35</v>
      </c>
    </row>
    <row r="332" spans="1:16" ht="27" customHeight="1">
      <c r="A332" s="1497" t="s">
        <v>28</v>
      </c>
      <c r="B332" s="1498" t="s">
        <v>35</v>
      </c>
      <c r="C332" s="1498" t="s">
        <v>29</v>
      </c>
      <c r="D332" s="1498" t="s">
        <v>195</v>
      </c>
      <c r="E332" s="1499" t="s">
        <v>69</v>
      </c>
      <c r="F332" s="1498" t="s">
        <v>70</v>
      </c>
      <c r="G332" s="1498" t="s">
        <v>34</v>
      </c>
      <c r="H332" s="1499" t="s">
        <v>968</v>
      </c>
      <c r="I332" s="1504">
        <v>45292</v>
      </c>
      <c r="J332" s="1498" t="s">
        <v>35</v>
      </c>
      <c r="K332" s="1498" t="s">
        <v>35</v>
      </c>
      <c r="L332" s="653" t="s">
        <v>35</v>
      </c>
      <c r="M332" s="653" t="e">
        <f>SUM(L332*20%)+L332</f>
        <v>#VALUE!</v>
      </c>
      <c r="N332" s="1502" t="s">
        <v>35</v>
      </c>
      <c r="O332" s="1498" t="s">
        <v>35</v>
      </c>
      <c r="P332" s="1498" t="s">
        <v>35</v>
      </c>
    </row>
    <row r="333" spans="1:16" ht="27" customHeight="1">
      <c r="A333" s="1497" t="s">
        <v>28</v>
      </c>
      <c r="B333" s="1498" t="s">
        <v>35</v>
      </c>
      <c r="C333" s="1498" t="s">
        <v>29</v>
      </c>
      <c r="D333" s="1498" t="s">
        <v>82</v>
      </c>
      <c r="E333" s="1499" t="s">
        <v>69</v>
      </c>
      <c r="F333" s="1498" t="s">
        <v>70</v>
      </c>
      <c r="G333" s="1498" t="s">
        <v>34</v>
      </c>
      <c r="H333" s="1520" t="s">
        <v>1051</v>
      </c>
      <c r="I333" s="1504">
        <v>45292</v>
      </c>
      <c r="J333" s="1498">
        <v>48</v>
      </c>
      <c r="K333" s="1512" t="s">
        <v>35</v>
      </c>
      <c r="L333" s="653" t="s">
        <v>35</v>
      </c>
      <c r="M333" s="653" t="e">
        <f>SUM(L333*20%)+L333</f>
        <v>#VALUE!</v>
      </c>
      <c r="N333" s="1502" t="s">
        <v>35</v>
      </c>
      <c r="O333" s="1498" t="s">
        <v>35</v>
      </c>
      <c r="P333" s="1498" t="s">
        <v>35</v>
      </c>
    </row>
    <row r="334" spans="1:16" ht="27" customHeight="1">
      <c r="A334" s="1497" t="s">
        <v>28</v>
      </c>
      <c r="B334" s="1498" t="s">
        <v>865</v>
      </c>
      <c r="C334" s="1498" t="s">
        <v>29</v>
      </c>
      <c r="D334" s="1498" t="s">
        <v>327</v>
      </c>
      <c r="E334" s="1499" t="s">
        <v>866</v>
      </c>
      <c r="F334" s="1498" t="s">
        <v>867</v>
      </c>
      <c r="G334" s="1498" t="s">
        <v>64</v>
      </c>
      <c r="H334" s="1499" t="s">
        <v>868</v>
      </c>
      <c r="I334" s="1504">
        <v>45293</v>
      </c>
      <c r="J334" s="1498">
        <v>36</v>
      </c>
      <c r="K334" s="1512" t="s">
        <v>236</v>
      </c>
      <c r="L334" s="653" t="s">
        <v>869</v>
      </c>
      <c r="M334" s="653" t="e">
        <f>SUM(L334*20%)+L334</f>
        <v>#VALUE!</v>
      </c>
      <c r="N334" s="1498" t="s">
        <v>66</v>
      </c>
      <c r="O334" s="1506" t="s">
        <v>36</v>
      </c>
      <c r="P334" s="1498" t="s">
        <v>37</v>
      </c>
    </row>
    <row r="335" spans="1:16" ht="27" customHeight="1">
      <c r="A335" s="1497" t="s">
        <v>28</v>
      </c>
      <c r="B335" s="1497"/>
      <c r="C335" s="1498" t="s">
        <v>105</v>
      </c>
      <c r="D335" s="1498" t="s">
        <v>31</v>
      </c>
      <c r="E335" s="1499" t="s">
        <v>69</v>
      </c>
      <c r="F335" s="1498" t="s">
        <v>70</v>
      </c>
      <c r="G335" s="1498" t="s">
        <v>34</v>
      </c>
      <c r="H335" s="1508" t="s">
        <v>106</v>
      </c>
      <c r="I335" s="1504">
        <v>45307</v>
      </c>
      <c r="J335" s="1498">
        <v>12</v>
      </c>
      <c r="K335" s="1512" t="s">
        <v>108</v>
      </c>
      <c r="L335" s="653" t="s">
        <v>35</v>
      </c>
      <c r="M335" s="653" t="str">
        <f>IF(ISNUMBER(L335),SUM(L335*20%)+L335,"")</f>
        <v/>
      </c>
      <c r="N335" s="1497" t="s">
        <v>4463</v>
      </c>
      <c r="O335" s="1498" t="s">
        <v>110</v>
      </c>
      <c r="P335" s="1498" t="s">
        <v>54</v>
      </c>
    </row>
    <row r="336" spans="1:16" ht="27" customHeight="1">
      <c r="A336" s="1497" t="s">
        <v>193</v>
      </c>
      <c r="B336" s="1498" t="s">
        <v>194</v>
      </c>
      <c r="C336" s="1498" t="s">
        <v>29</v>
      </c>
      <c r="D336" s="1498" t="s">
        <v>195</v>
      </c>
      <c r="E336" s="1499" t="s">
        <v>69</v>
      </c>
      <c r="F336" s="1498" t="s">
        <v>70</v>
      </c>
      <c r="G336" s="1498" t="s">
        <v>64</v>
      </c>
      <c r="H336" s="1499" t="s">
        <v>196</v>
      </c>
      <c r="I336" s="1504">
        <v>45322</v>
      </c>
      <c r="J336" s="1498">
        <v>56</v>
      </c>
      <c r="K336" s="1521" t="s">
        <v>198</v>
      </c>
      <c r="L336" s="653">
        <v>55000</v>
      </c>
      <c r="M336" s="653">
        <f>IF(ISNUMBER(L336),SUM(L336*20%)+L336,"")</f>
        <v>66000</v>
      </c>
      <c r="N336" s="1498" t="s">
        <v>66</v>
      </c>
      <c r="O336" s="1498" t="s">
        <v>110</v>
      </c>
      <c r="P336" s="1498" t="s">
        <v>37</v>
      </c>
    </row>
    <row r="337" spans="1:16" ht="27" customHeight="1">
      <c r="A337" s="1497" t="s">
        <v>28</v>
      </c>
      <c r="B337" s="1498"/>
      <c r="C337" s="1498" t="s">
        <v>29</v>
      </c>
      <c r="D337" s="1498" t="s">
        <v>82</v>
      </c>
      <c r="E337" s="1499" t="s">
        <v>69</v>
      </c>
      <c r="F337" s="1498" t="s">
        <v>70</v>
      </c>
      <c r="G337" s="1498" t="s">
        <v>34</v>
      </c>
      <c r="H337" s="1499" t="s">
        <v>958</v>
      </c>
      <c r="I337" s="1504">
        <v>45325</v>
      </c>
      <c r="J337" s="1498" t="s">
        <v>35</v>
      </c>
      <c r="K337" s="1498" t="s">
        <v>35</v>
      </c>
      <c r="L337" s="653" t="s">
        <v>35</v>
      </c>
      <c r="M337" s="653" t="e">
        <f>SUM(L337*20%)+L337</f>
        <v>#VALUE!</v>
      </c>
      <c r="N337" s="1498" t="s">
        <v>35</v>
      </c>
      <c r="O337" s="1517" t="s">
        <v>54</v>
      </c>
      <c r="P337" s="1498" t="s">
        <v>37</v>
      </c>
    </row>
    <row r="338" spans="1:16" ht="27" customHeight="1">
      <c r="A338" s="1497" t="s">
        <v>28</v>
      </c>
      <c r="B338" s="1498" t="s">
        <v>35</v>
      </c>
      <c r="C338" s="1498" t="s">
        <v>29</v>
      </c>
      <c r="D338" s="1498" t="s">
        <v>82</v>
      </c>
      <c r="E338" s="1499" t="s">
        <v>69</v>
      </c>
      <c r="F338" s="1498" t="s">
        <v>70</v>
      </c>
      <c r="G338" s="1498" t="s">
        <v>64</v>
      </c>
      <c r="H338" s="1499" t="s">
        <v>901</v>
      </c>
      <c r="I338" s="1504">
        <v>45328</v>
      </c>
      <c r="J338" s="1498">
        <v>24</v>
      </c>
      <c r="K338" s="1538" t="s">
        <v>902</v>
      </c>
      <c r="L338" s="653" t="s">
        <v>35</v>
      </c>
      <c r="M338" s="653" t="e">
        <f>SUM(L338*20%)+L338</f>
        <v>#VALUE!</v>
      </c>
      <c r="N338" s="1498" t="s">
        <v>66</v>
      </c>
      <c r="O338" s="1498" t="s">
        <v>54</v>
      </c>
      <c r="P338" s="1502" t="s">
        <v>37</v>
      </c>
    </row>
    <row r="339" spans="1:16" ht="27" customHeight="1">
      <c r="A339" s="1497" t="s">
        <v>28</v>
      </c>
      <c r="B339" s="1498" t="s">
        <v>622</v>
      </c>
      <c r="C339" s="1498" t="s">
        <v>29</v>
      </c>
      <c r="D339" s="1498" t="s">
        <v>86</v>
      </c>
      <c r="E339" s="1499" t="s">
        <v>119</v>
      </c>
      <c r="F339" s="1498" t="s">
        <v>119</v>
      </c>
      <c r="G339" s="1498" t="s">
        <v>64</v>
      </c>
      <c r="H339" s="1499" t="s">
        <v>623</v>
      </c>
      <c r="I339" s="1504">
        <v>45344</v>
      </c>
      <c r="J339" s="1498">
        <v>48</v>
      </c>
      <c r="K339" s="1498" t="s">
        <v>230</v>
      </c>
      <c r="L339" s="653">
        <v>750000</v>
      </c>
      <c r="M339" s="653">
        <f>SUM(L339*20%)+L339</f>
        <v>900000</v>
      </c>
      <c r="N339" s="1498" t="s">
        <v>66</v>
      </c>
      <c r="O339" s="1503" t="s">
        <v>41</v>
      </c>
      <c r="P339" s="1503">
        <v>44144</v>
      </c>
    </row>
    <row r="340" spans="1:16" ht="27" customHeight="1">
      <c r="A340" s="1497" t="s">
        <v>28</v>
      </c>
      <c r="B340" s="1498" t="s">
        <v>35</v>
      </c>
      <c r="C340" s="1498" t="s">
        <v>29</v>
      </c>
      <c r="D340" s="1498" t="s">
        <v>31</v>
      </c>
      <c r="E340" s="1499" t="s">
        <v>69</v>
      </c>
      <c r="F340" s="1498" t="s">
        <v>70</v>
      </c>
      <c r="G340" s="1498" t="s">
        <v>64</v>
      </c>
      <c r="H340" s="1499" t="s">
        <v>280</v>
      </c>
      <c r="I340" s="1504">
        <v>45352</v>
      </c>
      <c r="J340" s="1498">
        <v>96</v>
      </c>
      <c r="K340" s="1512" t="s">
        <v>281</v>
      </c>
      <c r="L340" s="653">
        <v>75750</v>
      </c>
      <c r="M340" s="653">
        <f>IF(ISNUMBER(L340),SUM(L340*20%)+L340,"")</f>
        <v>90900</v>
      </c>
      <c r="N340" s="1498" t="s">
        <v>66</v>
      </c>
      <c r="O340" s="1498" t="s">
        <v>36</v>
      </c>
      <c r="P340" s="1498" t="s">
        <v>37</v>
      </c>
    </row>
    <row r="341" spans="1:16" ht="27" customHeight="1">
      <c r="A341" s="1497" t="s">
        <v>28</v>
      </c>
      <c r="B341" s="1505" t="s">
        <v>35</v>
      </c>
      <c r="C341" s="1498" t="s">
        <v>92</v>
      </c>
      <c r="D341" s="1498" t="s">
        <v>92</v>
      </c>
      <c r="E341" s="1499" t="s">
        <v>69</v>
      </c>
      <c r="F341" s="1498" t="s">
        <v>70</v>
      </c>
      <c r="G341" s="1498" t="s">
        <v>34</v>
      </c>
      <c r="H341" s="1499" t="s">
        <v>93</v>
      </c>
      <c r="I341" s="1504">
        <v>45365</v>
      </c>
      <c r="J341" s="1498"/>
      <c r="K341" s="1498"/>
      <c r="L341" s="653" t="s">
        <v>35</v>
      </c>
      <c r="M341" s="653" t="str">
        <f>IF(ISNUMBER(L341),SUM(L341*20%)+L341,"")</f>
        <v/>
      </c>
      <c r="N341" s="1498" t="s">
        <v>35</v>
      </c>
      <c r="O341" s="1506" t="s">
        <v>54</v>
      </c>
      <c r="P341" s="1498" t="s">
        <v>37</v>
      </c>
    </row>
    <row r="342" spans="1:16" ht="27" customHeight="1">
      <c r="A342" s="1497" t="s">
        <v>28</v>
      </c>
      <c r="B342" s="1498">
        <v>29039</v>
      </c>
      <c r="C342" s="1498" t="s">
        <v>60</v>
      </c>
      <c r="D342" s="1498" t="s">
        <v>195</v>
      </c>
      <c r="E342" s="1499" t="s">
        <v>310</v>
      </c>
      <c r="F342" s="1498" t="s">
        <v>311</v>
      </c>
      <c r="G342" s="1498" t="s">
        <v>64</v>
      </c>
      <c r="H342" s="1499" t="s">
        <v>502</v>
      </c>
      <c r="I342" s="1504">
        <v>45365</v>
      </c>
      <c r="J342" s="1501">
        <v>36</v>
      </c>
      <c r="K342" s="1570" t="s">
        <v>503</v>
      </c>
      <c r="L342" s="653">
        <v>300000</v>
      </c>
      <c r="M342" s="653">
        <f>IF(ISNUMBER(L342),SUM(L342*20%)+L342,"")</f>
        <v>360000</v>
      </c>
      <c r="N342" s="1498" t="s">
        <v>66</v>
      </c>
      <c r="O342" s="1517" t="s">
        <v>41</v>
      </c>
      <c r="P342" s="1502">
        <v>44537</v>
      </c>
    </row>
    <row r="343" spans="1:16" ht="27" customHeight="1">
      <c r="A343" s="1497" t="s">
        <v>28</v>
      </c>
      <c r="B343" s="1497">
        <v>49859</v>
      </c>
      <c r="C343" s="1498" t="s">
        <v>29</v>
      </c>
      <c r="D343" s="1498" t="s">
        <v>86</v>
      </c>
      <c r="E343" s="1499" t="s">
        <v>119</v>
      </c>
      <c r="F343" s="1498" t="s">
        <v>628</v>
      </c>
      <c r="G343" s="1498" t="s">
        <v>64</v>
      </c>
      <c r="H343" s="1499" t="s">
        <v>629</v>
      </c>
      <c r="I343" s="1504">
        <v>45365</v>
      </c>
      <c r="J343" s="1498">
        <v>36</v>
      </c>
      <c r="K343" s="1498" t="s">
        <v>236</v>
      </c>
      <c r="L343" s="653">
        <v>784000</v>
      </c>
      <c r="M343" s="653">
        <f>SUM(L343*20%)+L343</f>
        <v>940800</v>
      </c>
      <c r="N343" s="1498" t="s">
        <v>66</v>
      </c>
      <c r="O343" s="1503" t="s">
        <v>41</v>
      </c>
      <c r="P343" s="1503" t="s">
        <v>630</v>
      </c>
    </row>
    <row r="344" spans="1:16" ht="27" customHeight="1">
      <c r="A344" s="1497" t="s">
        <v>28</v>
      </c>
      <c r="B344" s="1498">
        <v>66261</v>
      </c>
      <c r="C344" s="1498" t="s">
        <v>105</v>
      </c>
      <c r="D344" s="1498" t="s">
        <v>31</v>
      </c>
      <c r="E344" s="1499" t="s">
        <v>180</v>
      </c>
      <c r="F344" s="1498" t="s">
        <v>70</v>
      </c>
      <c r="G344" s="1498" t="s">
        <v>64</v>
      </c>
      <c r="H344" s="1499" t="s">
        <v>578</v>
      </c>
      <c r="I344" s="1504">
        <v>45373</v>
      </c>
      <c r="J344" s="1498">
        <v>37</v>
      </c>
      <c r="K344" s="1512" t="s">
        <v>579</v>
      </c>
      <c r="L344" s="653">
        <v>580374.46</v>
      </c>
      <c r="M344" s="653">
        <f>SUM(L344*20%)+L344</f>
        <v>696449.35199999996</v>
      </c>
      <c r="N344" s="1497" t="s">
        <v>4463</v>
      </c>
      <c r="O344" s="1498" t="s">
        <v>144</v>
      </c>
      <c r="P344" s="1502" t="s">
        <v>580</v>
      </c>
    </row>
    <row r="345" spans="1:16" ht="27" customHeight="1">
      <c r="A345" s="1497" t="s">
        <v>28</v>
      </c>
      <c r="B345" s="1501" t="s">
        <v>35</v>
      </c>
      <c r="C345" s="1498" t="s">
        <v>29</v>
      </c>
      <c r="D345" s="1498" t="s">
        <v>82</v>
      </c>
      <c r="E345" s="1499" t="s">
        <v>32</v>
      </c>
      <c r="F345" s="1498" t="s">
        <v>45</v>
      </c>
      <c r="G345" s="1498" t="s">
        <v>34</v>
      </c>
      <c r="H345" s="1499" t="s">
        <v>992</v>
      </c>
      <c r="I345" s="1504">
        <v>45373</v>
      </c>
      <c r="J345" s="1498" t="s">
        <v>35</v>
      </c>
      <c r="K345" s="1512" t="s">
        <v>35</v>
      </c>
      <c r="L345" s="653" t="s">
        <v>35</v>
      </c>
      <c r="M345" s="653" t="e">
        <f>SUM(L345*20%)+L345</f>
        <v>#VALUE!</v>
      </c>
      <c r="N345" s="1498" t="s">
        <v>35</v>
      </c>
      <c r="O345" s="1498" t="s">
        <v>54</v>
      </c>
      <c r="P345" s="1498" t="s">
        <v>37</v>
      </c>
    </row>
    <row r="346" spans="1:16" ht="27" customHeight="1">
      <c r="A346" s="1497" t="s">
        <v>28</v>
      </c>
      <c r="B346" s="1498" t="s">
        <v>348</v>
      </c>
      <c r="C346" s="1498" t="s">
        <v>29</v>
      </c>
      <c r="D346" s="1498" t="s">
        <v>61</v>
      </c>
      <c r="E346" s="1499" t="s">
        <v>180</v>
      </c>
      <c r="F346" s="1498" t="s">
        <v>349</v>
      </c>
      <c r="G346" s="1498" t="s">
        <v>64</v>
      </c>
      <c r="H346" s="1499" t="s">
        <v>350</v>
      </c>
      <c r="I346" s="1504">
        <v>45382</v>
      </c>
      <c r="J346" s="1498">
        <v>60</v>
      </c>
      <c r="K346" s="1512" t="s">
        <v>351</v>
      </c>
      <c r="L346" s="653">
        <v>112055</v>
      </c>
      <c r="M346" s="653">
        <f>IF(ISNUMBER(L346),SUM(L346*20%)+L346,"")</f>
        <v>134466</v>
      </c>
      <c r="N346" s="1498" t="s">
        <v>66</v>
      </c>
      <c r="O346" s="1498" t="s">
        <v>36</v>
      </c>
      <c r="P346" s="1498" t="s">
        <v>37</v>
      </c>
    </row>
    <row r="347" spans="1:16" ht="27" customHeight="1">
      <c r="A347" s="1497" t="s">
        <v>28</v>
      </c>
      <c r="B347" s="1498" t="s">
        <v>664</v>
      </c>
      <c r="C347" s="1498" t="s">
        <v>29</v>
      </c>
      <c r="D347" s="1498" t="s">
        <v>61</v>
      </c>
      <c r="E347" s="1499" t="s">
        <v>62</v>
      </c>
      <c r="F347" s="1498" t="s">
        <v>260</v>
      </c>
      <c r="G347" s="1498" t="s">
        <v>34</v>
      </c>
      <c r="H347" s="1499" t="s">
        <v>665</v>
      </c>
      <c r="I347" s="1504">
        <v>45382</v>
      </c>
      <c r="J347" s="1498" t="s">
        <v>35</v>
      </c>
      <c r="K347" s="1498" t="s">
        <v>35</v>
      </c>
      <c r="L347" s="653" t="s">
        <v>35</v>
      </c>
      <c r="M347" s="653" t="e">
        <f>SUM(L347*20%)+L347</f>
        <v>#VALUE!</v>
      </c>
      <c r="N347" s="1498" t="s">
        <v>35</v>
      </c>
      <c r="O347" s="1503" t="s">
        <v>35</v>
      </c>
      <c r="P347" s="1503" t="s">
        <v>37</v>
      </c>
    </row>
    <row r="348" spans="1:16" ht="27" customHeight="1">
      <c r="A348" s="1497" t="s">
        <v>28</v>
      </c>
      <c r="B348" s="1498" t="s">
        <v>35</v>
      </c>
      <c r="C348" s="1498" t="s">
        <v>29</v>
      </c>
      <c r="D348" s="1498" t="s">
        <v>31</v>
      </c>
      <c r="E348" s="1499" t="s">
        <v>75</v>
      </c>
      <c r="F348" s="1498" t="s">
        <v>76</v>
      </c>
      <c r="G348" s="1498" t="s">
        <v>34</v>
      </c>
      <c r="H348" s="1499" t="s">
        <v>77</v>
      </c>
      <c r="I348" s="1504">
        <v>45383</v>
      </c>
      <c r="J348" s="1498"/>
      <c r="K348" s="1512"/>
      <c r="L348" s="653" t="s">
        <v>35</v>
      </c>
      <c r="M348" s="653" t="str">
        <f>IF(ISNUMBER(L348),SUM(L348*20%)+L348,"")</f>
        <v/>
      </c>
      <c r="N348" s="1498" t="s">
        <v>46</v>
      </c>
      <c r="O348" s="1498" t="s">
        <v>36</v>
      </c>
      <c r="P348" s="1498" t="s">
        <v>37</v>
      </c>
    </row>
    <row r="349" spans="1:16" ht="27" customHeight="1">
      <c r="A349" s="1497" t="s">
        <v>28</v>
      </c>
      <c r="B349" s="1498">
        <v>72900</v>
      </c>
      <c r="C349" s="1498" t="s">
        <v>60</v>
      </c>
      <c r="D349" s="1501" t="s">
        <v>61</v>
      </c>
      <c r="E349" s="1499" t="s">
        <v>180</v>
      </c>
      <c r="F349" s="1498" t="s">
        <v>260</v>
      </c>
      <c r="G349" s="1498" t="s">
        <v>34</v>
      </c>
      <c r="H349" s="1499" t="s">
        <v>261</v>
      </c>
      <c r="I349" s="1557">
        <v>45383</v>
      </c>
      <c r="J349" s="1498">
        <v>48</v>
      </c>
      <c r="K349" s="1512" t="s">
        <v>262</v>
      </c>
      <c r="L349" s="653">
        <v>72000</v>
      </c>
      <c r="M349" s="653">
        <f>IF(ISNUMBER(L349),SUM(L349*20%)+L349,"")</f>
        <v>86400</v>
      </c>
      <c r="N349" s="1512" t="s">
        <v>66</v>
      </c>
      <c r="O349" s="1498" t="s">
        <v>54</v>
      </c>
      <c r="P349" s="1498" t="s">
        <v>37</v>
      </c>
    </row>
    <row r="350" spans="1:16" ht="27" customHeight="1">
      <c r="A350" s="1497" t="s">
        <v>28</v>
      </c>
      <c r="B350" s="1498">
        <v>26112</v>
      </c>
      <c r="C350" s="1498" t="s">
        <v>29</v>
      </c>
      <c r="D350" s="1498" t="s">
        <v>195</v>
      </c>
      <c r="E350" s="1499" t="s">
        <v>69</v>
      </c>
      <c r="F350" s="1498" t="s">
        <v>70</v>
      </c>
      <c r="G350" s="1498" t="s">
        <v>64</v>
      </c>
      <c r="H350" s="1499" t="s">
        <v>307</v>
      </c>
      <c r="I350" s="1559">
        <v>45383</v>
      </c>
      <c r="J350" s="1511">
        <v>72</v>
      </c>
      <c r="K350" s="1511" t="s">
        <v>308</v>
      </c>
      <c r="L350" s="653">
        <v>93775.3</v>
      </c>
      <c r="M350" s="653">
        <f>IF(ISNUMBER(L350),SUM(L350*20%)+L350,"")</f>
        <v>112530.36</v>
      </c>
      <c r="N350" s="1502" t="s">
        <v>66</v>
      </c>
      <c r="O350" s="1498" t="s">
        <v>36</v>
      </c>
      <c r="P350" s="1498" t="s">
        <v>37</v>
      </c>
    </row>
    <row r="351" spans="1:16" ht="27" customHeight="1">
      <c r="A351" s="1497" t="s">
        <v>28</v>
      </c>
      <c r="B351" s="1498" t="s">
        <v>35</v>
      </c>
      <c r="C351" s="1498" t="s">
        <v>29</v>
      </c>
      <c r="D351" s="1498" t="s">
        <v>31</v>
      </c>
      <c r="E351" s="1499" t="s">
        <v>75</v>
      </c>
      <c r="F351" s="1498" t="s">
        <v>76</v>
      </c>
      <c r="G351" s="1498" t="s">
        <v>64</v>
      </c>
      <c r="H351" s="1499" t="s">
        <v>331</v>
      </c>
      <c r="I351" s="1504">
        <v>45383</v>
      </c>
      <c r="J351" s="1498">
        <v>48</v>
      </c>
      <c r="K351" s="1498" t="s">
        <v>332</v>
      </c>
      <c r="L351" s="653">
        <v>100000</v>
      </c>
      <c r="M351" s="653">
        <f>IF(ISNUMBER(L351),SUM(L351*20%)+L351,"")</f>
        <v>120000</v>
      </c>
      <c r="N351" s="1498" t="s">
        <v>66</v>
      </c>
      <c r="O351" s="1504" t="s">
        <v>54</v>
      </c>
      <c r="P351" s="1504" t="s">
        <v>37</v>
      </c>
    </row>
    <row r="352" spans="1:16" ht="27" customHeight="1">
      <c r="A352" s="1497" t="s">
        <v>28</v>
      </c>
      <c r="B352" s="1498" t="s">
        <v>413</v>
      </c>
      <c r="C352" s="1498" t="s">
        <v>29</v>
      </c>
      <c r="D352" s="1498" t="s">
        <v>86</v>
      </c>
      <c r="E352" s="1499" t="s">
        <v>133</v>
      </c>
      <c r="F352" s="1501" t="s">
        <v>134</v>
      </c>
      <c r="G352" s="1498" t="s">
        <v>64</v>
      </c>
      <c r="H352" s="1499" t="s">
        <v>414</v>
      </c>
      <c r="I352" s="1504">
        <v>45383</v>
      </c>
      <c r="J352" s="1498">
        <v>48</v>
      </c>
      <c r="K352" s="1530" t="s">
        <v>397</v>
      </c>
      <c r="L352" s="653">
        <v>156000</v>
      </c>
      <c r="M352" s="653">
        <f>IF(ISNUMBER(L352),SUM(L352*20%)+L352,"")</f>
        <v>187200</v>
      </c>
      <c r="N352" s="1498" t="s">
        <v>66</v>
      </c>
      <c r="O352" s="1498" t="s">
        <v>54</v>
      </c>
      <c r="P352" s="1498" t="s">
        <v>37</v>
      </c>
    </row>
    <row r="353" spans="1:16" ht="27" customHeight="1">
      <c r="A353" s="1497" t="s">
        <v>28</v>
      </c>
      <c r="B353" s="1498" t="s">
        <v>433</v>
      </c>
      <c r="C353" s="1498" t="s">
        <v>29</v>
      </c>
      <c r="D353" s="1498" t="s">
        <v>31</v>
      </c>
      <c r="E353" s="1499" t="s">
        <v>69</v>
      </c>
      <c r="F353" s="1498" t="s">
        <v>70</v>
      </c>
      <c r="G353" s="1498" t="s">
        <v>64</v>
      </c>
      <c r="H353" s="1499" t="s">
        <v>434</v>
      </c>
      <c r="I353" s="1504">
        <v>45383</v>
      </c>
      <c r="J353" s="1498">
        <v>36</v>
      </c>
      <c r="K353" s="1497" t="s">
        <v>435</v>
      </c>
      <c r="L353" s="653">
        <v>169776</v>
      </c>
      <c r="M353" s="653">
        <f>IF(ISNUMBER(L353),SUM(L353*20%)+L353,"")</f>
        <v>203731.20000000001</v>
      </c>
      <c r="N353" s="1502" t="s">
        <v>66</v>
      </c>
      <c r="O353" s="1498" t="s">
        <v>36</v>
      </c>
      <c r="P353" s="1498" t="s">
        <v>37</v>
      </c>
    </row>
    <row r="354" spans="1:16" ht="27" customHeight="1">
      <c r="A354" s="1497" t="s">
        <v>28</v>
      </c>
      <c r="B354" s="1498" t="s">
        <v>35</v>
      </c>
      <c r="C354" s="1498" t="s">
        <v>29</v>
      </c>
      <c r="D354" s="1498" t="s">
        <v>31</v>
      </c>
      <c r="E354" s="1499" t="s">
        <v>69</v>
      </c>
      <c r="F354" s="1498" t="s">
        <v>70</v>
      </c>
      <c r="G354" s="1498" t="s">
        <v>64</v>
      </c>
      <c r="H354" s="1499" t="s">
        <v>438</v>
      </c>
      <c r="I354" s="1504">
        <v>45383</v>
      </c>
      <c r="J354" s="1498">
        <v>36</v>
      </c>
      <c r="K354" s="1497" t="s">
        <v>435</v>
      </c>
      <c r="L354" s="653">
        <v>177000</v>
      </c>
      <c r="M354" s="653">
        <f>IF(ISNUMBER(L354),SUM(L354*20%)+L354,"")</f>
        <v>212400</v>
      </c>
      <c r="N354" s="1498" t="s">
        <v>66</v>
      </c>
      <c r="O354" s="1517" t="s">
        <v>54</v>
      </c>
      <c r="P354" s="1498" t="s">
        <v>43</v>
      </c>
    </row>
    <row r="355" spans="1:16" ht="27" customHeight="1">
      <c r="A355" s="1497" t="s">
        <v>28</v>
      </c>
      <c r="B355" s="1498" t="s">
        <v>447</v>
      </c>
      <c r="C355" s="1498" t="s">
        <v>29</v>
      </c>
      <c r="D355" s="1498" t="s">
        <v>86</v>
      </c>
      <c r="E355" s="1499" t="s">
        <v>133</v>
      </c>
      <c r="F355" s="1498" t="s">
        <v>364</v>
      </c>
      <c r="G355" s="1498" t="s">
        <v>64</v>
      </c>
      <c r="H355" s="1499" t="s">
        <v>448</v>
      </c>
      <c r="I355" s="1504">
        <v>45383</v>
      </c>
      <c r="J355" s="1501">
        <v>48</v>
      </c>
      <c r="K355" s="1498" t="s">
        <v>230</v>
      </c>
      <c r="L355" s="653">
        <v>180000</v>
      </c>
      <c r="M355" s="653">
        <f>IF(ISNUMBER(L355),SUM(L355*20%)+L355,"")</f>
        <v>216000</v>
      </c>
      <c r="N355" s="1502" t="s">
        <v>66</v>
      </c>
      <c r="O355" s="1501" t="s">
        <v>54</v>
      </c>
      <c r="P355" s="1501" t="s">
        <v>37</v>
      </c>
    </row>
    <row r="356" spans="1:16" ht="27" customHeight="1">
      <c r="A356" s="1497" t="s">
        <v>28</v>
      </c>
      <c r="B356" s="1501" t="s">
        <v>460</v>
      </c>
      <c r="C356" s="1501" t="s">
        <v>29</v>
      </c>
      <c r="D356" s="1498" t="s">
        <v>86</v>
      </c>
      <c r="E356" s="1499" t="s">
        <v>133</v>
      </c>
      <c r="F356" s="1498" t="s">
        <v>134</v>
      </c>
      <c r="G356" s="1498" t="s">
        <v>64</v>
      </c>
      <c r="H356" s="1527" t="s">
        <v>461</v>
      </c>
      <c r="I356" s="1503">
        <v>45383</v>
      </c>
      <c r="J356" s="1501">
        <v>36</v>
      </c>
      <c r="K356" s="1501" t="s">
        <v>252</v>
      </c>
      <c r="L356" s="653">
        <v>199500</v>
      </c>
      <c r="M356" s="653">
        <f>IF(ISNUMBER(L356),SUM(L356*20%)+L356,"")</f>
        <v>239400</v>
      </c>
      <c r="N356" s="1501" t="s">
        <v>66</v>
      </c>
      <c r="O356" s="1528" t="s">
        <v>36</v>
      </c>
      <c r="P356" s="1501"/>
    </row>
    <row r="357" spans="1:16" ht="27" customHeight="1">
      <c r="A357" s="1497" t="s">
        <v>28</v>
      </c>
      <c r="B357" s="1498" t="s">
        <v>35</v>
      </c>
      <c r="C357" s="1498" t="s">
        <v>29</v>
      </c>
      <c r="D357" s="1498" t="s">
        <v>31</v>
      </c>
      <c r="E357" s="1499" t="s">
        <v>32</v>
      </c>
      <c r="F357" s="1498" t="s">
        <v>45</v>
      </c>
      <c r="G357" s="1498" t="s">
        <v>34</v>
      </c>
      <c r="H357" s="1499" t="s">
        <v>487</v>
      </c>
      <c r="I357" s="1504">
        <v>45383</v>
      </c>
      <c r="J357" s="1498">
        <v>36</v>
      </c>
      <c r="K357" s="1512" t="s">
        <v>488</v>
      </c>
      <c r="L357" s="653">
        <v>250000</v>
      </c>
      <c r="M357" s="653">
        <f>IF(ISNUMBER(L357),SUM(L357*20%)+L357,"")</f>
        <v>300000</v>
      </c>
      <c r="N357" s="1498" t="s">
        <v>46</v>
      </c>
      <c r="O357" s="1504" t="s">
        <v>36</v>
      </c>
      <c r="P357" s="1504" t="s">
        <v>37</v>
      </c>
    </row>
    <row r="358" spans="1:16" ht="27" customHeight="1">
      <c r="A358" s="1497" t="s">
        <v>28</v>
      </c>
      <c r="B358" s="1498" t="s">
        <v>35</v>
      </c>
      <c r="C358" s="1498" t="s">
        <v>60</v>
      </c>
      <c r="D358" s="1498" t="s">
        <v>61</v>
      </c>
      <c r="E358" s="1527" t="s">
        <v>126</v>
      </c>
      <c r="F358" s="1501" t="s">
        <v>127</v>
      </c>
      <c r="G358" s="1501" t="s">
        <v>34</v>
      </c>
      <c r="H358" s="1527" t="s">
        <v>510</v>
      </c>
      <c r="I358" s="1504">
        <v>45383</v>
      </c>
      <c r="J358" s="1501">
        <v>48</v>
      </c>
      <c r="K358" s="1501">
        <v>48</v>
      </c>
      <c r="L358" s="653">
        <v>320000</v>
      </c>
      <c r="M358" s="653">
        <f>IF(ISNUMBER(L358),SUM(L358*20%)+L358,"")</f>
        <v>384000</v>
      </c>
      <c r="N358" s="1501" t="s">
        <v>35</v>
      </c>
      <c r="O358" s="1498" t="s">
        <v>41</v>
      </c>
      <c r="P358" s="1498" t="s">
        <v>35</v>
      </c>
    </row>
    <row r="359" spans="1:16" ht="27" customHeight="1">
      <c r="A359" s="1497" t="s">
        <v>28</v>
      </c>
      <c r="B359" s="1498"/>
      <c r="C359" s="1498" t="s">
        <v>29</v>
      </c>
      <c r="D359" s="1498" t="s">
        <v>92</v>
      </c>
      <c r="E359" s="1499" t="s">
        <v>69</v>
      </c>
      <c r="F359" s="1498" t="s">
        <v>70</v>
      </c>
      <c r="G359" s="1498" t="s">
        <v>34</v>
      </c>
      <c r="H359" s="1499" t="s">
        <v>544</v>
      </c>
      <c r="I359" s="1504">
        <v>45383</v>
      </c>
      <c r="J359" s="1498" t="s">
        <v>545</v>
      </c>
      <c r="K359" s="1498" t="s">
        <v>125</v>
      </c>
      <c r="L359" s="653">
        <v>400000</v>
      </c>
      <c r="M359" s="653">
        <f>SUM(L359*20%)+L359</f>
        <v>480000</v>
      </c>
      <c r="N359" s="1498" t="s">
        <v>173</v>
      </c>
      <c r="O359" s="1498" t="s">
        <v>36</v>
      </c>
      <c r="P359" s="1502" t="s">
        <v>41</v>
      </c>
    </row>
    <row r="360" spans="1:16" ht="27" customHeight="1">
      <c r="A360" s="1497" t="s">
        <v>28</v>
      </c>
      <c r="B360" s="1498">
        <v>49871</v>
      </c>
      <c r="C360" s="1498" t="s">
        <v>29</v>
      </c>
      <c r="D360" s="1498" t="s">
        <v>86</v>
      </c>
      <c r="E360" s="1499" t="s">
        <v>119</v>
      </c>
      <c r="F360" s="1498" t="s">
        <v>563</v>
      </c>
      <c r="G360" s="1498" t="s">
        <v>64</v>
      </c>
      <c r="H360" s="1499" t="s">
        <v>564</v>
      </c>
      <c r="I360" s="1504">
        <v>45383</v>
      </c>
      <c r="J360" s="1498">
        <v>36</v>
      </c>
      <c r="K360" s="1497" t="s">
        <v>435</v>
      </c>
      <c r="L360" s="653">
        <v>428000</v>
      </c>
      <c r="M360" s="653">
        <f>SUM(L360*20%)+L360</f>
        <v>513600</v>
      </c>
      <c r="N360" s="1498" t="s">
        <v>66</v>
      </c>
      <c r="O360" s="1498" t="s">
        <v>566</v>
      </c>
      <c r="P360" s="1502" t="s">
        <v>43</v>
      </c>
    </row>
    <row r="361" spans="1:16" ht="27" customHeight="1">
      <c r="A361" s="1497" t="s">
        <v>28</v>
      </c>
      <c r="B361" s="1498">
        <v>49924</v>
      </c>
      <c r="C361" s="1498" t="s">
        <v>29</v>
      </c>
      <c r="D361" s="1498" t="s">
        <v>31</v>
      </c>
      <c r="E361" s="1499" t="s">
        <v>69</v>
      </c>
      <c r="F361" s="1498" t="s">
        <v>70</v>
      </c>
      <c r="G361" s="1498" t="s">
        <v>64</v>
      </c>
      <c r="H361" s="1518" t="s">
        <v>595</v>
      </c>
      <c r="I361" s="1504">
        <v>45383</v>
      </c>
      <c r="J361" s="1498">
        <v>48</v>
      </c>
      <c r="K361" s="1497" t="s">
        <v>596</v>
      </c>
      <c r="L361" s="653">
        <v>620000</v>
      </c>
      <c r="M361" s="653">
        <f>SUM(L361*20%)+L361</f>
        <v>744000</v>
      </c>
      <c r="N361" s="1498" t="s">
        <v>66</v>
      </c>
      <c r="O361" s="1498" t="s">
        <v>36</v>
      </c>
      <c r="P361" s="1498" t="s">
        <v>37</v>
      </c>
    </row>
    <row r="362" spans="1:16" ht="27" customHeight="1">
      <c r="A362" s="1497" t="s">
        <v>28</v>
      </c>
      <c r="B362" s="1497" t="s">
        <v>747</v>
      </c>
      <c r="C362" s="1498" t="s">
        <v>29</v>
      </c>
      <c r="D362" s="1498" t="s">
        <v>31</v>
      </c>
      <c r="E362" s="1499" t="s">
        <v>32</v>
      </c>
      <c r="F362" s="1498" t="s">
        <v>45</v>
      </c>
      <c r="G362" s="1498" t="s">
        <v>64</v>
      </c>
      <c r="H362" s="1499" t="s">
        <v>748</v>
      </c>
      <c r="I362" s="1504">
        <v>45383</v>
      </c>
      <c r="J362" s="1498">
        <v>52</v>
      </c>
      <c r="K362" s="1498" t="s">
        <v>749</v>
      </c>
      <c r="L362" s="653">
        <v>2800000</v>
      </c>
      <c r="M362" s="653">
        <f>SUM(L362*20%)+L362</f>
        <v>3360000</v>
      </c>
      <c r="N362" s="1498" t="s">
        <v>66</v>
      </c>
      <c r="O362" s="1498" t="s">
        <v>41</v>
      </c>
      <c r="P362" s="1502"/>
    </row>
    <row r="363" spans="1:16" ht="27" customHeight="1">
      <c r="A363" s="1497" t="s">
        <v>28</v>
      </c>
      <c r="B363" s="1498" t="s">
        <v>35</v>
      </c>
      <c r="C363" s="1498" t="s">
        <v>29</v>
      </c>
      <c r="D363" s="1498" t="s">
        <v>31</v>
      </c>
      <c r="E363" s="1499" t="s">
        <v>69</v>
      </c>
      <c r="F363" s="1498" t="s">
        <v>70</v>
      </c>
      <c r="G363" s="1498" t="s">
        <v>34</v>
      </c>
      <c r="H363" s="1499" t="s">
        <v>753</v>
      </c>
      <c r="I363" s="1504">
        <v>45383</v>
      </c>
      <c r="J363" s="1512" t="s">
        <v>754</v>
      </c>
      <c r="K363" s="1512" t="s">
        <v>754</v>
      </c>
      <c r="L363" s="653">
        <v>3000000</v>
      </c>
      <c r="M363" s="653">
        <f>SUM(L363*20%)+L363</f>
        <v>3600000</v>
      </c>
      <c r="N363" s="1498" t="s">
        <v>98</v>
      </c>
      <c r="O363" s="1504" t="s">
        <v>41</v>
      </c>
      <c r="P363" s="1504" t="s">
        <v>35</v>
      </c>
    </row>
    <row r="364" spans="1:16" s="1552" customFormat="1" ht="27" customHeight="1">
      <c r="A364" s="1497" t="s">
        <v>28</v>
      </c>
      <c r="B364" s="1498">
        <v>36403</v>
      </c>
      <c r="C364" s="1498" t="s">
        <v>29</v>
      </c>
      <c r="D364" s="1498" t="s">
        <v>31</v>
      </c>
      <c r="E364" s="1499" t="s">
        <v>32</v>
      </c>
      <c r="F364" s="1498" t="s">
        <v>45</v>
      </c>
      <c r="G364" s="1498" t="s">
        <v>64</v>
      </c>
      <c r="H364" s="1499" t="s">
        <v>814</v>
      </c>
      <c r="I364" s="1504">
        <v>45383</v>
      </c>
      <c r="J364" s="1498">
        <v>48</v>
      </c>
      <c r="K364" s="1497" t="s">
        <v>815</v>
      </c>
      <c r="L364" s="653">
        <v>8000000</v>
      </c>
      <c r="M364" s="653">
        <f>SUM(L364*20%)+L364</f>
        <v>9600000</v>
      </c>
      <c r="N364" s="1498" t="s">
        <v>66</v>
      </c>
      <c r="O364" s="1517" t="s">
        <v>35</v>
      </c>
      <c r="P364" s="1502" t="s">
        <v>816</v>
      </c>
    </row>
    <row r="365" spans="1:16" ht="27" customHeight="1">
      <c r="A365" s="1497" t="s">
        <v>28</v>
      </c>
      <c r="B365" s="1498"/>
      <c r="C365" s="1498" t="s">
        <v>60</v>
      </c>
      <c r="D365" s="1498" t="s">
        <v>61</v>
      </c>
      <c r="E365" s="1499" t="s">
        <v>62</v>
      </c>
      <c r="F365" s="1497" t="s">
        <v>63</v>
      </c>
      <c r="G365" s="1497" t="s">
        <v>34</v>
      </c>
      <c r="H365" s="1508" t="s">
        <v>837</v>
      </c>
      <c r="I365" s="1504">
        <v>45383</v>
      </c>
      <c r="J365" s="1497">
        <v>48</v>
      </c>
      <c r="K365" s="1521"/>
      <c r="L365" s="653">
        <v>22217516.18</v>
      </c>
      <c r="M365" s="653">
        <f>SUM(L365*20%)+L365</f>
        <v>26661019.416000001</v>
      </c>
      <c r="N365" s="1498" t="s">
        <v>66</v>
      </c>
      <c r="O365" s="1498" t="s">
        <v>41</v>
      </c>
      <c r="P365" s="1502"/>
    </row>
    <row r="366" spans="1:16" ht="27" customHeight="1">
      <c r="A366" s="1497" t="s">
        <v>28</v>
      </c>
      <c r="B366" s="1498">
        <v>36492</v>
      </c>
      <c r="C366" s="1498" t="s">
        <v>29</v>
      </c>
      <c r="D366" s="1498" t="s">
        <v>61</v>
      </c>
      <c r="E366" s="1499" t="s">
        <v>335</v>
      </c>
      <c r="F366" s="1498" t="s">
        <v>336</v>
      </c>
      <c r="G366" s="1498" t="s">
        <v>64</v>
      </c>
      <c r="H366" s="1499" t="s">
        <v>883</v>
      </c>
      <c r="I366" s="1504">
        <v>45383</v>
      </c>
      <c r="J366" s="1498">
        <v>42</v>
      </c>
      <c r="K366" s="1498" t="s">
        <v>884</v>
      </c>
      <c r="L366" s="653" t="s">
        <v>885</v>
      </c>
      <c r="M366" s="653" t="e">
        <f>SUM(L366*20%)+L366</f>
        <v>#VALUE!</v>
      </c>
      <c r="N366" s="1502" t="s">
        <v>66</v>
      </c>
      <c r="O366" s="1503" t="s">
        <v>41</v>
      </c>
      <c r="P366" s="1503">
        <v>44748</v>
      </c>
    </row>
    <row r="367" spans="1:16" ht="27" customHeight="1">
      <c r="A367" s="1497" t="s">
        <v>28</v>
      </c>
      <c r="B367" s="1498" t="s">
        <v>35</v>
      </c>
      <c r="C367" s="1498" t="s">
        <v>60</v>
      </c>
      <c r="D367" s="1498" t="s">
        <v>61</v>
      </c>
      <c r="E367" s="1527" t="s">
        <v>126</v>
      </c>
      <c r="F367" s="1498" t="s">
        <v>171</v>
      </c>
      <c r="G367" s="1498" t="s">
        <v>34</v>
      </c>
      <c r="H367" s="1499" t="s">
        <v>888</v>
      </c>
      <c r="I367" s="1504">
        <v>45383</v>
      </c>
      <c r="J367" s="1511" t="s">
        <v>35</v>
      </c>
      <c r="K367" s="1511" t="s">
        <v>35</v>
      </c>
      <c r="L367" s="653" t="s">
        <v>889</v>
      </c>
      <c r="M367" s="653" t="e">
        <f>SUM(L367*20%)+L367</f>
        <v>#VALUE!</v>
      </c>
      <c r="N367" s="1502" t="s">
        <v>98</v>
      </c>
      <c r="O367" s="1498" t="s">
        <v>41</v>
      </c>
      <c r="P367" s="1498" t="s">
        <v>35</v>
      </c>
    </row>
    <row r="368" spans="1:16" s="1553" customFormat="1" ht="27" customHeight="1">
      <c r="A368" s="1497" t="s">
        <v>28</v>
      </c>
      <c r="B368" s="1497" t="s">
        <v>35</v>
      </c>
      <c r="C368" s="1498" t="s">
        <v>29</v>
      </c>
      <c r="D368" s="1498" t="s">
        <v>82</v>
      </c>
      <c r="E368" s="1499" t="s">
        <v>69</v>
      </c>
      <c r="F368" s="1498" t="s">
        <v>70</v>
      </c>
      <c r="G368" s="1498" t="s">
        <v>34</v>
      </c>
      <c r="H368" s="1499" t="s">
        <v>948</v>
      </c>
      <c r="I368" s="1504">
        <v>45383</v>
      </c>
      <c r="J368" s="1498" t="s">
        <v>35</v>
      </c>
      <c r="K368" s="1512" t="s">
        <v>35</v>
      </c>
      <c r="L368" s="653" t="s">
        <v>35</v>
      </c>
      <c r="M368" s="653" t="e">
        <f>SUM(L368*20%)+L368</f>
        <v>#VALUE!</v>
      </c>
      <c r="N368" s="1498" t="s">
        <v>35</v>
      </c>
      <c r="O368" s="1498" t="s">
        <v>35</v>
      </c>
      <c r="P368" s="1498" t="s">
        <v>35</v>
      </c>
    </row>
    <row r="369" spans="1:16" ht="27" customHeight="1">
      <c r="A369" s="1497" t="s">
        <v>28</v>
      </c>
      <c r="B369" s="1498" t="s">
        <v>35</v>
      </c>
      <c r="C369" s="1498" t="s">
        <v>29</v>
      </c>
      <c r="D369" s="1498" t="s">
        <v>31</v>
      </c>
      <c r="E369" s="1499" t="s">
        <v>75</v>
      </c>
      <c r="F369" s="1498" t="s">
        <v>76</v>
      </c>
      <c r="G369" s="1498" t="s">
        <v>34</v>
      </c>
      <c r="H369" s="1499" t="s">
        <v>951</v>
      </c>
      <c r="I369" s="1504">
        <v>45383</v>
      </c>
      <c r="J369" s="1498">
        <v>180</v>
      </c>
      <c r="K369" s="1512" t="s">
        <v>35</v>
      </c>
      <c r="L369" s="653" t="s">
        <v>35</v>
      </c>
      <c r="M369" s="653" t="e">
        <f>SUM(L369*20%)+L369</f>
        <v>#VALUE!</v>
      </c>
      <c r="N369" s="1502" t="s">
        <v>35</v>
      </c>
      <c r="O369" s="1498" t="s">
        <v>41</v>
      </c>
      <c r="P369" s="1498" t="s">
        <v>35</v>
      </c>
    </row>
    <row r="370" spans="1:16" ht="27" customHeight="1">
      <c r="A370" s="1497" t="s">
        <v>28</v>
      </c>
      <c r="B370" s="1498" t="s">
        <v>35</v>
      </c>
      <c r="C370" s="1498" t="s">
        <v>29</v>
      </c>
      <c r="D370" s="1498" t="s">
        <v>31</v>
      </c>
      <c r="E370" s="1499" t="s">
        <v>69</v>
      </c>
      <c r="F370" s="1498" t="s">
        <v>70</v>
      </c>
      <c r="G370" s="1498" t="s">
        <v>34</v>
      </c>
      <c r="H370" s="1499" t="s">
        <v>952</v>
      </c>
      <c r="I370" s="1504">
        <v>45383</v>
      </c>
      <c r="J370" s="1498" t="s">
        <v>35</v>
      </c>
      <c r="K370" s="1498" t="s">
        <v>35</v>
      </c>
      <c r="L370" s="653" t="s">
        <v>35</v>
      </c>
      <c r="M370" s="653" t="e">
        <f>SUM(L370*20%)+L370</f>
        <v>#VALUE!</v>
      </c>
      <c r="N370" s="1498" t="s">
        <v>35</v>
      </c>
      <c r="O370" s="1498" t="s">
        <v>35</v>
      </c>
      <c r="P370" s="1498" t="s">
        <v>35</v>
      </c>
    </row>
    <row r="371" spans="1:16" ht="27" customHeight="1">
      <c r="A371" s="1497" t="s">
        <v>28</v>
      </c>
      <c r="B371" s="1498" t="s">
        <v>35</v>
      </c>
      <c r="C371" s="1498" t="s">
        <v>29</v>
      </c>
      <c r="D371" s="1498" t="s">
        <v>61</v>
      </c>
      <c r="E371" s="1499" t="s">
        <v>69</v>
      </c>
      <c r="F371" s="1498" t="s">
        <v>70</v>
      </c>
      <c r="G371" s="1498" t="s">
        <v>34</v>
      </c>
      <c r="H371" s="1499" t="s">
        <v>954</v>
      </c>
      <c r="I371" s="1504">
        <v>45383</v>
      </c>
      <c r="J371" s="1498" t="s">
        <v>35</v>
      </c>
      <c r="K371" s="1498" t="s">
        <v>35</v>
      </c>
      <c r="L371" s="653" t="s">
        <v>35</v>
      </c>
      <c r="M371" s="653" t="e">
        <f>SUM(L371*20%)+L371</f>
        <v>#VALUE!</v>
      </c>
      <c r="N371" s="1502" t="s">
        <v>35</v>
      </c>
      <c r="O371" s="1498" t="s">
        <v>35</v>
      </c>
      <c r="P371" s="1498" t="s">
        <v>35</v>
      </c>
    </row>
    <row r="372" spans="1:16" ht="27" customHeight="1">
      <c r="A372" s="1497" t="s">
        <v>28</v>
      </c>
      <c r="B372" s="1498" t="s">
        <v>35</v>
      </c>
      <c r="C372" s="1498" t="s">
        <v>29</v>
      </c>
      <c r="D372" s="1498" t="s">
        <v>82</v>
      </c>
      <c r="E372" s="1499" t="s">
        <v>69</v>
      </c>
      <c r="F372" s="1498" t="s">
        <v>70</v>
      </c>
      <c r="G372" s="1498" t="s">
        <v>34</v>
      </c>
      <c r="H372" s="1499" t="s">
        <v>972</v>
      </c>
      <c r="I372" s="1504">
        <v>45383</v>
      </c>
      <c r="J372" s="1498" t="s">
        <v>35</v>
      </c>
      <c r="K372" s="1498" t="s">
        <v>35</v>
      </c>
      <c r="L372" s="653" t="s">
        <v>35</v>
      </c>
      <c r="M372" s="653" t="e">
        <f>SUM(L372*20%)+L372</f>
        <v>#VALUE!</v>
      </c>
      <c r="N372" s="1498" t="s">
        <v>35</v>
      </c>
      <c r="O372" s="1504" t="s">
        <v>110</v>
      </c>
      <c r="P372" s="1498" t="s">
        <v>37</v>
      </c>
    </row>
    <row r="373" spans="1:16" ht="27" customHeight="1">
      <c r="A373" s="1497" t="s">
        <v>28</v>
      </c>
      <c r="B373" s="1505" t="s">
        <v>35</v>
      </c>
      <c r="C373" s="1505" t="s">
        <v>29</v>
      </c>
      <c r="D373" s="1498" t="s">
        <v>31</v>
      </c>
      <c r="E373" s="1499" t="s">
        <v>69</v>
      </c>
      <c r="F373" s="1505" t="s">
        <v>70</v>
      </c>
      <c r="G373" s="1505" t="s">
        <v>34</v>
      </c>
      <c r="H373" s="1531" t="s">
        <v>973</v>
      </c>
      <c r="I373" s="1557">
        <v>45383</v>
      </c>
      <c r="J373" s="1505" t="s">
        <v>35</v>
      </c>
      <c r="K373" s="1505" t="s">
        <v>35</v>
      </c>
      <c r="L373" s="653" t="s">
        <v>35</v>
      </c>
      <c r="M373" s="653" t="e">
        <f>SUM(L373*20%)+L373</f>
        <v>#VALUE!</v>
      </c>
      <c r="N373" s="1505" t="s">
        <v>35</v>
      </c>
      <c r="O373" s="1505" t="s">
        <v>54</v>
      </c>
      <c r="P373" s="1498" t="s">
        <v>37</v>
      </c>
    </row>
    <row r="374" spans="1:16" ht="27" customHeight="1">
      <c r="A374" s="1497" t="s">
        <v>28</v>
      </c>
      <c r="B374" s="1498"/>
      <c r="C374" s="1498" t="s">
        <v>29</v>
      </c>
      <c r="D374" s="1498" t="s">
        <v>31</v>
      </c>
      <c r="E374" s="1499" t="s">
        <v>180</v>
      </c>
      <c r="F374" s="1498" t="s">
        <v>70</v>
      </c>
      <c r="G374" s="1498" t="s">
        <v>34</v>
      </c>
      <c r="H374" s="1499" t="s">
        <v>434</v>
      </c>
      <c r="I374" s="1504">
        <v>45383</v>
      </c>
      <c r="J374" s="1498" t="s">
        <v>35</v>
      </c>
      <c r="K374" s="1498" t="s">
        <v>35</v>
      </c>
      <c r="L374" s="1498" t="s">
        <v>35</v>
      </c>
      <c r="M374" s="653" t="e">
        <f>SUM(L374*20%)+L374</f>
        <v>#VALUE!</v>
      </c>
      <c r="N374" s="1502" t="s">
        <v>35</v>
      </c>
      <c r="O374" s="1498" t="s">
        <v>35</v>
      </c>
      <c r="P374" s="1498" t="s">
        <v>35</v>
      </c>
    </row>
    <row r="375" spans="1:16" ht="27" customHeight="1">
      <c r="A375" s="1497" t="s">
        <v>28</v>
      </c>
      <c r="B375" s="1498" t="s">
        <v>35</v>
      </c>
      <c r="C375" s="1498" t="s">
        <v>60</v>
      </c>
      <c r="D375" s="1501" t="s">
        <v>61</v>
      </c>
      <c r="E375" s="1499" t="s">
        <v>69</v>
      </c>
      <c r="F375" s="1498" t="s">
        <v>70</v>
      </c>
      <c r="G375" s="1498" t="s">
        <v>34</v>
      </c>
      <c r="H375" s="1499" t="s">
        <v>993</v>
      </c>
      <c r="I375" s="1504">
        <v>45383</v>
      </c>
      <c r="J375" s="1498">
        <v>48</v>
      </c>
      <c r="K375" s="1512" t="s">
        <v>289</v>
      </c>
      <c r="L375" s="653" t="s">
        <v>35</v>
      </c>
      <c r="M375" s="653" t="e">
        <f>SUM(L375*20%)+L375</f>
        <v>#VALUE!</v>
      </c>
      <c r="N375" s="1498" t="s">
        <v>66</v>
      </c>
      <c r="O375" s="1505" t="s">
        <v>54</v>
      </c>
      <c r="P375" s="1498" t="s">
        <v>37</v>
      </c>
    </row>
    <row r="376" spans="1:16" ht="27" customHeight="1">
      <c r="A376" s="1497" t="s">
        <v>28</v>
      </c>
      <c r="B376" s="1498">
        <v>52022</v>
      </c>
      <c r="C376" s="1534" t="s">
        <v>214</v>
      </c>
      <c r="D376" s="1501" t="s">
        <v>61</v>
      </c>
      <c r="E376" s="1499" t="s">
        <v>69</v>
      </c>
      <c r="F376" s="1498" t="s">
        <v>70</v>
      </c>
      <c r="G376" s="1498" t="s">
        <v>64</v>
      </c>
      <c r="H376" s="1499" t="s">
        <v>429</v>
      </c>
      <c r="I376" s="1504">
        <v>45402</v>
      </c>
      <c r="J376" s="1498">
        <v>48</v>
      </c>
      <c r="K376" s="1497" t="s">
        <v>430</v>
      </c>
      <c r="L376" s="653">
        <v>168115.24</v>
      </c>
      <c r="M376" s="653">
        <f>IF(ISNUMBER(L376),SUM(L376*20%)+L376,"")</f>
        <v>201738.288</v>
      </c>
      <c r="N376" s="1498" t="s">
        <v>66</v>
      </c>
      <c r="O376" s="1498" t="s">
        <v>54</v>
      </c>
      <c r="P376" s="1498" t="s">
        <v>431</v>
      </c>
    </row>
    <row r="377" spans="1:16" ht="27" customHeight="1">
      <c r="A377" s="1497" t="s">
        <v>28</v>
      </c>
      <c r="B377" s="1498" t="s">
        <v>35</v>
      </c>
      <c r="C377" s="1498" t="s">
        <v>29</v>
      </c>
      <c r="D377" s="1498" t="s">
        <v>92</v>
      </c>
      <c r="E377" s="1499" t="s">
        <v>69</v>
      </c>
      <c r="F377" s="1498" t="s">
        <v>70</v>
      </c>
      <c r="G377" s="1498" t="s">
        <v>34</v>
      </c>
      <c r="H377" s="1499" t="s">
        <v>966</v>
      </c>
      <c r="I377" s="1504">
        <v>45412</v>
      </c>
      <c r="J377" s="1498" t="s">
        <v>35</v>
      </c>
      <c r="K377" s="1498" t="s">
        <v>35</v>
      </c>
      <c r="L377" s="653" t="s">
        <v>35</v>
      </c>
      <c r="M377" s="653" t="e">
        <f>SUM(L377*20%)+L377</f>
        <v>#VALUE!</v>
      </c>
      <c r="N377" s="1498" t="s">
        <v>35</v>
      </c>
      <c r="O377" s="1517" t="s">
        <v>35</v>
      </c>
      <c r="P377" s="1498" t="s">
        <v>35</v>
      </c>
    </row>
    <row r="378" spans="1:16" ht="27" customHeight="1">
      <c r="A378" s="1497" t="s">
        <v>28</v>
      </c>
      <c r="B378" s="1498" t="s">
        <v>367</v>
      </c>
      <c r="C378" s="1498" t="s">
        <v>82</v>
      </c>
      <c r="D378" s="1498" t="s">
        <v>82</v>
      </c>
      <c r="E378" s="1499" t="s">
        <v>69</v>
      </c>
      <c r="F378" s="1498" t="s">
        <v>70</v>
      </c>
      <c r="G378" s="1498" t="s">
        <v>64</v>
      </c>
      <c r="H378" s="1499" t="s">
        <v>368</v>
      </c>
      <c r="I378" s="1504">
        <v>45413</v>
      </c>
      <c r="J378" s="1498">
        <v>48</v>
      </c>
      <c r="K378" s="1498" t="s">
        <v>230</v>
      </c>
      <c r="L378" s="653">
        <v>120000</v>
      </c>
      <c r="M378" s="653">
        <f>IF(ISNUMBER(L378),SUM(L378*20%)+L378,"")</f>
        <v>144000</v>
      </c>
      <c r="N378" s="1498" t="s">
        <v>66</v>
      </c>
      <c r="O378" s="1503" t="s">
        <v>36</v>
      </c>
      <c r="P378" s="1503" t="s">
        <v>37</v>
      </c>
    </row>
    <row r="379" spans="1:16" ht="27" customHeight="1">
      <c r="A379" s="1497" t="s">
        <v>28</v>
      </c>
      <c r="B379" s="1498" t="s">
        <v>35</v>
      </c>
      <c r="C379" s="1498" t="s">
        <v>29</v>
      </c>
      <c r="D379" s="1498" t="s">
        <v>61</v>
      </c>
      <c r="E379" s="1499" t="s">
        <v>180</v>
      </c>
      <c r="F379" s="1498" t="s">
        <v>70</v>
      </c>
      <c r="G379" s="1498" t="s">
        <v>34</v>
      </c>
      <c r="H379" s="1499" t="s">
        <v>498</v>
      </c>
      <c r="I379" s="1504">
        <v>45413</v>
      </c>
      <c r="J379" s="1498" t="s">
        <v>499</v>
      </c>
      <c r="K379" s="1498" t="s">
        <v>500</v>
      </c>
      <c r="L379" s="653">
        <v>289131</v>
      </c>
      <c r="M379" s="653">
        <f>IF(ISNUMBER(L379),SUM(L379*20%)+L379,"")</f>
        <v>346957.2</v>
      </c>
      <c r="N379" s="1497" t="s">
        <v>4463</v>
      </c>
      <c r="O379" s="1504" t="s">
        <v>35</v>
      </c>
      <c r="P379" s="1504" t="s">
        <v>35</v>
      </c>
    </row>
    <row r="380" spans="1:16" ht="27" customHeight="1">
      <c r="A380" s="1497" t="s">
        <v>28</v>
      </c>
      <c r="B380" s="1498" t="s">
        <v>546</v>
      </c>
      <c r="C380" s="1498" t="s">
        <v>60</v>
      </c>
      <c r="D380" s="1498" t="s">
        <v>61</v>
      </c>
      <c r="E380" s="1527" t="s">
        <v>170</v>
      </c>
      <c r="F380" s="1498" t="s">
        <v>171</v>
      </c>
      <c r="G380" s="1498" t="s">
        <v>64</v>
      </c>
      <c r="H380" s="1499" t="s">
        <v>547</v>
      </c>
      <c r="I380" s="1504">
        <v>45413</v>
      </c>
      <c r="J380" s="1498">
        <v>60</v>
      </c>
      <c r="K380" s="1512" t="s">
        <v>351</v>
      </c>
      <c r="L380" s="653">
        <v>400000</v>
      </c>
      <c r="M380" s="653">
        <f>SUM(L380*20%)+L380</f>
        <v>480000</v>
      </c>
      <c r="N380" s="1498" t="s">
        <v>66</v>
      </c>
      <c r="O380" s="1503" t="s">
        <v>36</v>
      </c>
      <c r="P380" s="1503" t="s">
        <v>37</v>
      </c>
    </row>
    <row r="381" spans="1:16" ht="27" customHeight="1">
      <c r="A381" s="1497" t="s">
        <v>28</v>
      </c>
      <c r="B381" s="1498" t="s">
        <v>35</v>
      </c>
      <c r="C381" s="1498" t="s">
        <v>29</v>
      </c>
      <c r="D381" s="1498" t="s">
        <v>31</v>
      </c>
      <c r="E381" s="1499" t="s">
        <v>75</v>
      </c>
      <c r="F381" s="1498" t="s">
        <v>76</v>
      </c>
      <c r="G381" s="1498" t="s">
        <v>64</v>
      </c>
      <c r="H381" s="1499" t="s">
        <v>805</v>
      </c>
      <c r="I381" s="1504">
        <v>45433</v>
      </c>
      <c r="J381" s="1498">
        <v>120</v>
      </c>
      <c r="K381" s="1498" t="s">
        <v>806</v>
      </c>
      <c r="L381" s="653">
        <v>6140000</v>
      </c>
      <c r="M381" s="653">
        <f>SUM(L381*20%)+L381</f>
        <v>7368000</v>
      </c>
      <c r="N381" s="1498" t="s">
        <v>66</v>
      </c>
      <c r="O381" s="1504" t="s">
        <v>41</v>
      </c>
      <c r="P381" s="1504" t="s">
        <v>35</v>
      </c>
    </row>
    <row r="382" spans="1:16" ht="27" customHeight="1">
      <c r="A382" s="1497" t="s">
        <v>28</v>
      </c>
      <c r="B382" s="1498" t="s">
        <v>238</v>
      </c>
      <c r="C382" s="1498" t="s">
        <v>29</v>
      </c>
      <c r="D382" s="1498" t="s">
        <v>31</v>
      </c>
      <c r="E382" s="1499" t="s">
        <v>69</v>
      </c>
      <c r="F382" s="1498" t="s">
        <v>70</v>
      </c>
      <c r="G382" s="1498" t="s">
        <v>64</v>
      </c>
      <c r="H382" s="1499" t="s">
        <v>239</v>
      </c>
      <c r="I382" s="1504">
        <v>45436</v>
      </c>
      <c r="J382" s="1498">
        <v>48</v>
      </c>
      <c r="K382" s="1498" t="s">
        <v>230</v>
      </c>
      <c r="L382" s="653">
        <v>63312</v>
      </c>
      <c r="M382" s="653">
        <f>IF(ISNUMBER(L382),SUM(L382*20%)+L382,"")</f>
        <v>75974.399999999994</v>
      </c>
      <c r="N382" s="1498" t="s">
        <v>66</v>
      </c>
      <c r="O382" s="1503" t="s">
        <v>36</v>
      </c>
      <c r="P382" s="1503" t="s">
        <v>37</v>
      </c>
    </row>
    <row r="383" spans="1:16" ht="27" customHeight="1">
      <c r="A383" s="1497" t="s">
        <v>28</v>
      </c>
      <c r="B383" s="1498" t="s">
        <v>35</v>
      </c>
      <c r="C383" s="1498" t="s">
        <v>29</v>
      </c>
      <c r="D383" s="1498" t="s">
        <v>86</v>
      </c>
      <c r="E383" s="1499" t="s">
        <v>69</v>
      </c>
      <c r="F383" s="1498" t="s">
        <v>70</v>
      </c>
      <c r="G383" s="1498" t="s">
        <v>34</v>
      </c>
      <c r="H383" s="1499" t="s">
        <v>87</v>
      </c>
      <c r="I383" s="1504">
        <v>45444</v>
      </c>
      <c r="J383" s="1498"/>
      <c r="K383" s="1512"/>
      <c r="L383" s="653" t="s">
        <v>35</v>
      </c>
      <c r="M383" s="653" t="str">
        <f>IF(ISNUMBER(L383),SUM(L383*20%)+L383,"")</f>
        <v/>
      </c>
      <c r="N383" s="1502" t="s">
        <v>35</v>
      </c>
      <c r="O383" s="1498" t="s">
        <v>35</v>
      </c>
      <c r="P383" s="1498" t="s">
        <v>35</v>
      </c>
    </row>
    <row r="384" spans="1:16" ht="27" customHeight="1">
      <c r="A384" s="1497" t="s">
        <v>28</v>
      </c>
      <c r="B384" s="1498" t="s">
        <v>35</v>
      </c>
      <c r="C384" s="1498" t="s">
        <v>29</v>
      </c>
      <c r="D384" s="1498" t="s">
        <v>31</v>
      </c>
      <c r="E384" s="1499" t="s">
        <v>69</v>
      </c>
      <c r="F384" s="1498" t="s">
        <v>70</v>
      </c>
      <c r="G384" s="1498" t="s">
        <v>64</v>
      </c>
      <c r="H384" s="1499" t="s">
        <v>686</v>
      </c>
      <c r="I384" s="1504">
        <v>45444</v>
      </c>
      <c r="J384" s="1498">
        <v>84</v>
      </c>
      <c r="K384" s="1512" t="s">
        <v>573</v>
      </c>
      <c r="L384" s="653">
        <v>1463000</v>
      </c>
      <c r="M384" s="653">
        <f>SUM(L384*20%)+L384</f>
        <v>1755600</v>
      </c>
      <c r="N384" s="1498" t="s">
        <v>66</v>
      </c>
      <c r="O384" s="1498" t="s">
        <v>54</v>
      </c>
      <c r="P384" s="1498" t="s">
        <v>37</v>
      </c>
    </row>
    <row r="385" spans="1:16" ht="27" customHeight="1">
      <c r="A385" s="1497" t="s">
        <v>28</v>
      </c>
      <c r="B385" s="1498" t="s">
        <v>35</v>
      </c>
      <c r="C385" s="1498" t="s">
        <v>29</v>
      </c>
      <c r="D385" s="1498" t="s">
        <v>195</v>
      </c>
      <c r="E385" s="1499" t="s">
        <v>310</v>
      </c>
      <c r="F385" s="1498" t="s">
        <v>311</v>
      </c>
      <c r="G385" s="1498" t="s">
        <v>34</v>
      </c>
      <c r="H385" s="1499" t="s">
        <v>736</v>
      </c>
      <c r="I385" s="1504">
        <v>45444</v>
      </c>
      <c r="J385" s="1498">
        <v>60</v>
      </c>
      <c r="K385" s="1512" t="s">
        <v>358</v>
      </c>
      <c r="L385" s="653">
        <v>2649410</v>
      </c>
      <c r="M385" s="653">
        <f>SUM(L385*20%)+L385</f>
        <v>3179292</v>
      </c>
      <c r="N385" s="1498" t="s">
        <v>737</v>
      </c>
      <c r="O385" s="1498" t="s">
        <v>41</v>
      </c>
      <c r="P385" s="1498" t="s">
        <v>35</v>
      </c>
    </row>
    <row r="386" spans="1:16" ht="27" customHeight="1">
      <c r="A386" s="1497" t="s">
        <v>28</v>
      </c>
      <c r="B386" s="1498" t="s">
        <v>35</v>
      </c>
      <c r="C386" s="1498" t="s">
        <v>29</v>
      </c>
      <c r="D386" s="1498" t="s">
        <v>86</v>
      </c>
      <c r="E386" s="1499" t="s">
        <v>119</v>
      </c>
      <c r="F386" s="1498" t="s">
        <v>165</v>
      </c>
      <c r="G386" s="1498" t="s">
        <v>34</v>
      </c>
      <c r="H386" s="1499" t="s">
        <v>166</v>
      </c>
      <c r="I386" s="1504">
        <v>45454</v>
      </c>
      <c r="J386" s="1498">
        <v>48</v>
      </c>
      <c r="K386" s="1512" t="s">
        <v>167</v>
      </c>
      <c r="L386" s="653">
        <v>40000</v>
      </c>
      <c r="M386" s="653">
        <f>IF(ISNUMBER(L386),SUM(L386*20%)+L386,"")</f>
        <v>48000</v>
      </c>
      <c r="N386" s="1502" t="s">
        <v>35</v>
      </c>
      <c r="O386" s="1506" t="s">
        <v>54</v>
      </c>
      <c r="P386" s="1506" t="s">
        <v>37</v>
      </c>
    </row>
    <row r="387" spans="1:16" ht="27" customHeight="1">
      <c r="A387" s="1497" t="s">
        <v>28</v>
      </c>
      <c r="B387" s="1498"/>
      <c r="C387" s="1498" t="s">
        <v>60</v>
      </c>
      <c r="D387" s="1498" t="s">
        <v>61</v>
      </c>
      <c r="E387" s="1499" t="s">
        <v>62</v>
      </c>
      <c r="F387" s="1501" t="s">
        <v>63</v>
      </c>
      <c r="G387" s="1501" t="s">
        <v>34</v>
      </c>
      <c r="H387" s="1499" t="s">
        <v>97</v>
      </c>
      <c r="I387" s="1504">
        <v>45474</v>
      </c>
      <c r="J387" s="1498"/>
      <c r="K387" s="1498"/>
      <c r="L387" s="653" t="s">
        <v>35</v>
      </c>
      <c r="M387" s="653" t="str">
        <f>IF(ISNUMBER(L387),SUM(L387*20%)+L387,"")</f>
        <v/>
      </c>
      <c r="N387" s="1501" t="s">
        <v>98</v>
      </c>
      <c r="O387" s="1503" t="s">
        <v>41</v>
      </c>
      <c r="P387" s="1503" t="s">
        <v>35</v>
      </c>
    </row>
    <row r="388" spans="1:16" ht="27" customHeight="1">
      <c r="A388" s="1497" t="s">
        <v>28</v>
      </c>
      <c r="B388" s="1498" t="s">
        <v>35</v>
      </c>
      <c r="C388" s="1498" t="s">
        <v>29</v>
      </c>
      <c r="D388" s="1498" t="s">
        <v>31</v>
      </c>
      <c r="E388" s="1499" t="s">
        <v>75</v>
      </c>
      <c r="F388" s="1498" t="s">
        <v>76</v>
      </c>
      <c r="G388" s="1498" t="s">
        <v>34</v>
      </c>
      <c r="H388" s="1499" t="s">
        <v>985</v>
      </c>
      <c r="I388" s="1504">
        <v>45474</v>
      </c>
      <c r="J388" s="1498" t="s">
        <v>35</v>
      </c>
      <c r="K388" s="1498" t="s">
        <v>35</v>
      </c>
      <c r="L388" s="653" t="s">
        <v>35</v>
      </c>
      <c r="M388" s="653" t="e">
        <f>SUM(L388*20%)+L388</f>
        <v>#VALUE!</v>
      </c>
      <c r="N388" s="1498" t="s">
        <v>35</v>
      </c>
      <c r="O388" s="1498" t="s">
        <v>54</v>
      </c>
      <c r="P388" s="1498" t="s">
        <v>37</v>
      </c>
    </row>
    <row r="389" spans="1:16" ht="27" customHeight="1">
      <c r="A389" s="1497" t="s">
        <v>28</v>
      </c>
      <c r="B389" s="1498"/>
      <c r="C389" s="1498" t="s">
        <v>29</v>
      </c>
      <c r="D389" s="1498" t="s">
        <v>86</v>
      </c>
      <c r="E389" s="1499" t="s">
        <v>133</v>
      </c>
      <c r="F389" s="1498" t="s">
        <v>134</v>
      </c>
      <c r="G389" s="1498" t="s">
        <v>64</v>
      </c>
      <c r="H389" s="1499" t="s">
        <v>385</v>
      </c>
      <c r="I389" s="1504">
        <v>45485</v>
      </c>
      <c r="J389" s="1501">
        <v>48</v>
      </c>
      <c r="K389" s="1521" t="s">
        <v>386</v>
      </c>
      <c r="L389" s="653">
        <v>130000</v>
      </c>
      <c r="M389" s="653">
        <f>IF(ISNUMBER(L389),SUM(L389*20%)+L389,"")</f>
        <v>156000</v>
      </c>
      <c r="N389" s="1498" t="s">
        <v>66</v>
      </c>
      <c r="O389" s="1517" t="s">
        <v>54</v>
      </c>
      <c r="P389" s="1502" t="s">
        <v>37</v>
      </c>
    </row>
    <row r="390" spans="1:16" ht="27" customHeight="1">
      <c r="A390" s="1497" t="s">
        <v>28</v>
      </c>
      <c r="B390" s="1498" t="s">
        <v>470</v>
      </c>
      <c r="C390" s="1498" t="s">
        <v>29</v>
      </c>
      <c r="D390" s="1498" t="s">
        <v>92</v>
      </c>
      <c r="E390" s="1499" t="s">
        <v>69</v>
      </c>
      <c r="F390" s="1498" t="s">
        <v>70</v>
      </c>
      <c r="G390" s="1498" t="s">
        <v>64</v>
      </c>
      <c r="H390" s="1499" t="s">
        <v>471</v>
      </c>
      <c r="I390" s="1504">
        <v>45492</v>
      </c>
      <c r="J390" s="1498">
        <v>60</v>
      </c>
      <c r="K390" s="1512" t="s">
        <v>351</v>
      </c>
      <c r="L390" s="653">
        <v>221600</v>
      </c>
      <c r="M390" s="653">
        <f>IF(ISNUMBER(L390),SUM(L390*20%)+L390,"")</f>
        <v>265920</v>
      </c>
      <c r="N390" s="653" t="s">
        <v>66</v>
      </c>
      <c r="O390" s="1498" t="s">
        <v>36</v>
      </c>
      <c r="P390" s="1498" t="s">
        <v>37</v>
      </c>
    </row>
    <row r="391" spans="1:16" ht="27" customHeight="1">
      <c r="A391" s="1497" t="s">
        <v>28</v>
      </c>
      <c r="B391" s="1498" t="s">
        <v>632</v>
      </c>
      <c r="C391" s="1498" t="s">
        <v>29</v>
      </c>
      <c r="D391" s="1497" t="s">
        <v>86</v>
      </c>
      <c r="E391" s="1508" t="s">
        <v>119</v>
      </c>
      <c r="F391" s="1497" t="s">
        <v>120</v>
      </c>
      <c r="G391" s="1498" t="s">
        <v>64</v>
      </c>
      <c r="H391" s="1499" t="s">
        <v>633</v>
      </c>
      <c r="I391" s="1504">
        <v>45492</v>
      </c>
      <c r="J391" s="1498">
        <v>48</v>
      </c>
      <c r="K391" s="1498" t="s">
        <v>535</v>
      </c>
      <c r="L391" s="653">
        <v>785250</v>
      </c>
      <c r="M391" s="653">
        <f>SUM(L391*20%)+L391</f>
        <v>942300</v>
      </c>
      <c r="N391" s="1498" t="s">
        <v>66</v>
      </c>
      <c r="O391" s="1498" t="s">
        <v>36</v>
      </c>
      <c r="P391" s="1498" t="s">
        <v>35</v>
      </c>
    </row>
    <row r="392" spans="1:16" ht="27" customHeight="1">
      <c r="A392" s="1497" t="s">
        <v>28</v>
      </c>
      <c r="B392" s="1498"/>
      <c r="C392" s="1498" t="s">
        <v>60</v>
      </c>
      <c r="D392" s="1501" t="s">
        <v>61</v>
      </c>
      <c r="E392" s="1499" t="s">
        <v>69</v>
      </c>
      <c r="F392" s="1498" t="s">
        <v>70</v>
      </c>
      <c r="G392" s="1498" t="s">
        <v>34</v>
      </c>
      <c r="H392" s="1499" t="s">
        <v>263</v>
      </c>
      <c r="I392" s="1504">
        <v>45494</v>
      </c>
      <c r="J392" s="1498">
        <v>36</v>
      </c>
      <c r="K392" s="1498">
        <v>36</v>
      </c>
      <c r="L392" s="653">
        <v>74766</v>
      </c>
      <c r="M392" s="653">
        <f>IF(ISNUMBER(L392),SUM(L392*20%)+L392,"")</f>
        <v>89719.2</v>
      </c>
      <c r="N392" s="1498" t="s">
        <v>35</v>
      </c>
      <c r="O392" s="1498" t="s">
        <v>54</v>
      </c>
      <c r="P392" s="1498" t="s">
        <v>37</v>
      </c>
    </row>
    <row r="393" spans="1:16" ht="27" customHeight="1">
      <c r="A393" s="1497" t="s">
        <v>28</v>
      </c>
      <c r="B393" s="1507" t="s">
        <v>102</v>
      </c>
      <c r="C393" s="1498" t="s">
        <v>29</v>
      </c>
      <c r="D393" s="1498" t="s">
        <v>31</v>
      </c>
      <c r="E393" s="1499" t="s">
        <v>32</v>
      </c>
      <c r="F393" s="1498" t="s">
        <v>103</v>
      </c>
      <c r="G393" s="1498" t="s">
        <v>64</v>
      </c>
      <c r="H393" s="1499" t="s">
        <v>104</v>
      </c>
      <c r="I393" s="1504">
        <v>45505</v>
      </c>
      <c r="J393" s="1498"/>
      <c r="K393" s="1512"/>
      <c r="L393" s="653" t="s">
        <v>35</v>
      </c>
      <c r="M393" s="653" t="str">
        <f>IF(ISNUMBER(L393),SUM(L393*20%)+L393,"")</f>
        <v/>
      </c>
      <c r="N393" s="1498" t="s">
        <v>35</v>
      </c>
      <c r="O393" s="1498" t="s">
        <v>35</v>
      </c>
      <c r="P393" s="1502" t="s">
        <v>35</v>
      </c>
    </row>
    <row r="394" spans="1:16" ht="27" customHeight="1">
      <c r="A394" s="1497" t="s">
        <v>28</v>
      </c>
      <c r="B394" s="1498" t="s">
        <v>228</v>
      </c>
      <c r="C394" s="1498" t="s">
        <v>29</v>
      </c>
      <c r="D394" s="1498" t="s">
        <v>86</v>
      </c>
      <c r="E394" s="1499" t="s">
        <v>119</v>
      </c>
      <c r="F394" s="1498" t="s">
        <v>119</v>
      </c>
      <c r="G394" s="1498" t="s">
        <v>64</v>
      </c>
      <c r="H394" s="1499" t="s">
        <v>229</v>
      </c>
      <c r="I394" s="1504">
        <v>45505</v>
      </c>
      <c r="J394" s="1498">
        <v>48</v>
      </c>
      <c r="K394" s="1497" t="s">
        <v>230</v>
      </c>
      <c r="L394" s="653">
        <v>60000</v>
      </c>
      <c r="M394" s="653">
        <f>IF(ISNUMBER(L394),SUM(L394*20%)+L394,"")</f>
        <v>72000</v>
      </c>
      <c r="N394" s="1498" t="s">
        <v>66</v>
      </c>
      <c r="O394" s="1498" t="s">
        <v>36</v>
      </c>
      <c r="P394" s="1506" t="s">
        <v>35</v>
      </c>
    </row>
    <row r="395" spans="1:16" ht="27" customHeight="1">
      <c r="A395" s="1497" t="s">
        <v>28</v>
      </c>
      <c r="B395" s="1498" t="s">
        <v>35</v>
      </c>
      <c r="C395" s="1498" t="s">
        <v>29</v>
      </c>
      <c r="D395" s="1498" t="s">
        <v>31</v>
      </c>
      <c r="E395" s="1499" t="s">
        <v>69</v>
      </c>
      <c r="F395" s="1498" t="s">
        <v>70</v>
      </c>
      <c r="G395" s="1498" t="s">
        <v>64</v>
      </c>
      <c r="H395" s="1499" t="s">
        <v>625</v>
      </c>
      <c r="I395" s="1504">
        <v>45505</v>
      </c>
      <c r="J395" s="1498">
        <v>48</v>
      </c>
      <c r="K395" s="1498" t="s">
        <v>289</v>
      </c>
      <c r="L395" s="653">
        <v>751406.25</v>
      </c>
      <c r="M395" s="653">
        <f>SUM(L395*20%)+L395</f>
        <v>901687.5</v>
      </c>
      <c r="N395" s="1498" t="s">
        <v>66</v>
      </c>
      <c r="O395" s="1498" t="s">
        <v>41</v>
      </c>
      <c r="P395" s="1502">
        <v>44733</v>
      </c>
    </row>
    <row r="396" spans="1:16" ht="27" customHeight="1">
      <c r="A396" s="1497" t="s">
        <v>28</v>
      </c>
      <c r="B396" s="1497">
        <v>33185</v>
      </c>
      <c r="C396" s="1501" t="s">
        <v>29</v>
      </c>
      <c r="D396" s="1498" t="s">
        <v>86</v>
      </c>
      <c r="E396" s="1499" t="s">
        <v>133</v>
      </c>
      <c r="F396" s="1497" t="s">
        <v>134</v>
      </c>
      <c r="G396" s="1497" t="s">
        <v>64</v>
      </c>
      <c r="H396" s="1508" t="s">
        <v>893</v>
      </c>
      <c r="I396" s="1524">
        <v>45505</v>
      </c>
      <c r="J396" s="1497">
        <v>48</v>
      </c>
      <c r="K396" s="1497" t="s">
        <v>827</v>
      </c>
      <c r="L396" s="653" t="s">
        <v>894</v>
      </c>
      <c r="M396" s="653" t="e">
        <f>SUM(L396*20%)+L396</f>
        <v>#VALUE!</v>
      </c>
      <c r="N396" s="1497" t="s">
        <v>66</v>
      </c>
      <c r="O396" s="1498" t="s">
        <v>36</v>
      </c>
      <c r="P396" s="1498" t="s">
        <v>37</v>
      </c>
    </row>
    <row r="397" spans="1:16" ht="27" customHeight="1">
      <c r="A397" s="1497" t="s">
        <v>28</v>
      </c>
      <c r="B397" s="1498"/>
      <c r="C397" s="1498" t="s">
        <v>29</v>
      </c>
      <c r="D397" s="1498" t="s">
        <v>31</v>
      </c>
      <c r="E397" s="1499" t="s">
        <v>75</v>
      </c>
      <c r="F397" s="1498" t="s">
        <v>76</v>
      </c>
      <c r="G397" s="1498" t="s">
        <v>34</v>
      </c>
      <c r="H397" s="1499" t="s">
        <v>989</v>
      </c>
      <c r="I397" s="1504">
        <v>45505</v>
      </c>
      <c r="J397" s="1498" t="s">
        <v>35</v>
      </c>
      <c r="K397" s="1498" t="s">
        <v>35</v>
      </c>
      <c r="L397" s="653" t="s">
        <v>35</v>
      </c>
      <c r="M397" s="653" t="e">
        <f>SUM(L397*20%)+L397</f>
        <v>#VALUE!</v>
      </c>
      <c r="N397" s="1498" t="s">
        <v>35</v>
      </c>
      <c r="O397" s="1506" t="s">
        <v>54</v>
      </c>
      <c r="P397" s="1506" t="s">
        <v>37</v>
      </c>
    </row>
    <row r="398" spans="1:16" ht="27" customHeight="1">
      <c r="A398" s="1497" t="s">
        <v>28</v>
      </c>
      <c r="B398" s="1498">
        <v>30219</v>
      </c>
      <c r="C398" s="1498" t="s">
        <v>29</v>
      </c>
      <c r="D398" s="1498" t="s">
        <v>86</v>
      </c>
      <c r="E398" s="1499" t="s">
        <v>69</v>
      </c>
      <c r="F398" s="1498" t="s">
        <v>70</v>
      </c>
      <c r="G398" s="1498" t="s">
        <v>64</v>
      </c>
      <c r="H398" s="1499" t="s">
        <v>328</v>
      </c>
      <c r="I398" s="1504">
        <v>45528</v>
      </c>
      <c r="J398" s="1498">
        <v>48</v>
      </c>
      <c r="K398" s="1498" t="s">
        <v>289</v>
      </c>
      <c r="L398" s="653">
        <v>100000</v>
      </c>
      <c r="M398" s="653">
        <f>IF(ISNUMBER(L398),SUM(L398*20%)+L398,"")</f>
        <v>120000</v>
      </c>
      <c r="N398" s="1497" t="s">
        <v>66</v>
      </c>
      <c r="O398" s="1498" t="s">
        <v>36</v>
      </c>
      <c r="P398" s="1502" t="s">
        <v>125</v>
      </c>
    </row>
    <row r="399" spans="1:16" s="1552" customFormat="1" ht="27" customHeight="1">
      <c r="A399" s="1497" t="s">
        <v>28</v>
      </c>
      <c r="B399" s="1498" t="s">
        <v>35</v>
      </c>
      <c r="C399" s="1498" t="s">
        <v>29</v>
      </c>
      <c r="D399" s="1498" t="s">
        <v>31</v>
      </c>
      <c r="E399" s="1499" t="s">
        <v>32</v>
      </c>
      <c r="F399" s="1498" t="s">
        <v>876</v>
      </c>
      <c r="G399" s="1498" t="s">
        <v>34</v>
      </c>
      <c r="H399" s="1499" t="s">
        <v>1002</v>
      </c>
      <c r="I399" s="1574">
        <v>45532</v>
      </c>
      <c r="J399" s="1575">
        <v>120</v>
      </c>
      <c r="K399" s="1576" t="s">
        <v>35</v>
      </c>
      <c r="L399" s="653" t="s">
        <v>35</v>
      </c>
      <c r="M399" s="653" t="e">
        <f>SUM(L399*20%)+L399</f>
        <v>#VALUE!</v>
      </c>
      <c r="N399" s="1498" t="s">
        <v>35</v>
      </c>
      <c r="O399" s="1498" t="s">
        <v>36</v>
      </c>
      <c r="P399" s="1498" t="s">
        <v>41</v>
      </c>
    </row>
    <row r="400" spans="1:16" ht="27" customHeight="1">
      <c r="A400" s="1497" t="s">
        <v>28</v>
      </c>
      <c r="B400" s="1498" t="s">
        <v>478</v>
      </c>
      <c r="C400" s="1498" t="s">
        <v>29</v>
      </c>
      <c r="D400" s="1498" t="s">
        <v>86</v>
      </c>
      <c r="E400" s="1499" t="s">
        <v>133</v>
      </c>
      <c r="F400" s="1498" t="s">
        <v>364</v>
      </c>
      <c r="G400" s="1498" t="s">
        <v>64</v>
      </c>
      <c r="H400" s="1499" t="s">
        <v>479</v>
      </c>
      <c r="I400" s="1504">
        <v>45536</v>
      </c>
      <c r="J400" s="1497">
        <v>60</v>
      </c>
      <c r="K400" s="1498" t="s">
        <v>351</v>
      </c>
      <c r="L400" s="653">
        <v>230000</v>
      </c>
      <c r="M400" s="653">
        <f>IF(ISNUMBER(L400),SUM(L400*20%)+L400,"")</f>
        <v>276000</v>
      </c>
      <c r="N400" s="1502" t="s">
        <v>66</v>
      </c>
      <c r="O400" s="1503" t="s">
        <v>54</v>
      </c>
      <c r="P400" s="1503" t="s">
        <v>37</v>
      </c>
    </row>
    <row r="401" spans="1:16" ht="27" customHeight="1">
      <c r="A401" s="1497" t="s">
        <v>28</v>
      </c>
      <c r="B401" s="1498" t="s">
        <v>190</v>
      </c>
      <c r="C401" s="1498" t="s">
        <v>29</v>
      </c>
      <c r="D401" s="1498" t="s">
        <v>31</v>
      </c>
      <c r="E401" s="1499" t="s">
        <v>75</v>
      </c>
      <c r="F401" s="1498" t="s">
        <v>76</v>
      </c>
      <c r="G401" s="1498" t="s">
        <v>34</v>
      </c>
      <c r="H401" s="1499" t="s">
        <v>881</v>
      </c>
      <c r="I401" s="1504">
        <v>45536</v>
      </c>
      <c r="J401" s="1498">
        <v>72</v>
      </c>
      <c r="K401" s="1505" t="s">
        <v>35</v>
      </c>
      <c r="L401" s="653" t="s">
        <v>882</v>
      </c>
      <c r="M401" s="653" t="e">
        <f>SUM(L401*20%)+L401</f>
        <v>#VALUE!</v>
      </c>
      <c r="N401" s="1498" t="s">
        <v>35</v>
      </c>
      <c r="O401" s="1498" t="s">
        <v>36</v>
      </c>
      <c r="P401" s="1498" t="s">
        <v>37</v>
      </c>
    </row>
    <row r="402" spans="1:16" ht="27" customHeight="1">
      <c r="A402" s="1497" t="s">
        <v>28</v>
      </c>
      <c r="B402" s="1498" t="s">
        <v>35</v>
      </c>
      <c r="C402" s="1498" t="s">
        <v>29</v>
      </c>
      <c r="D402" s="1498" t="s">
        <v>31</v>
      </c>
      <c r="E402" s="1499" t="s">
        <v>69</v>
      </c>
      <c r="F402" s="1498" t="s">
        <v>70</v>
      </c>
      <c r="G402" s="1498" t="s">
        <v>34</v>
      </c>
      <c r="H402" s="1499" t="s">
        <v>994</v>
      </c>
      <c r="I402" s="1504">
        <v>45536</v>
      </c>
      <c r="J402" s="1498" t="s">
        <v>35</v>
      </c>
      <c r="K402" s="1512" t="s">
        <v>35</v>
      </c>
      <c r="L402" s="653" t="s">
        <v>35</v>
      </c>
      <c r="M402" s="653" t="e">
        <f>SUM(L402*20%)+L402</f>
        <v>#VALUE!</v>
      </c>
      <c r="N402" s="1498" t="s">
        <v>35</v>
      </c>
      <c r="O402" s="1503" t="s">
        <v>35</v>
      </c>
      <c r="P402" s="1503" t="s">
        <v>43</v>
      </c>
    </row>
    <row r="403" spans="1:16" ht="27" customHeight="1">
      <c r="A403" s="1497" t="s">
        <v>28</v>
      </c>
      <c r="B403" s="1498" t="s">
        <v>35</v>
      </c>
      <c r="C403" s="1498" t="s">
        <v>29</v>
      </c>
      <c r="D403" s="1498" t="s">
        <v>82</v>
      </c>
      <c r="E403" s="1499" t="s">
        <v>69</v>
      </c>
      <c r="F403" s="1498" t="s">
        <v>70</v>
      </c>
      <c r="G403" s="1498" t="s">
        <v>34</v>
      </c>
      <c r="H403" s="1499" t="s">
        <v>1024</v>
      </c>
      <c r="I403" s="1504">
        <v>45536</v>
      </c>
      <c r="J403" s="1498" t="s">
        <v>35</v>
      </c>
      <c r="K403" s="1497" t="s">
        <v>35</v>
      </c>
      <c r="L403" s="653" t="s">
        <v>35</v>
      </c>
      <c r="M403" s="653" t="e">
        <f>SUM(L403*20%)+L403</f>
        <v>#VALUE!</v>
      </c>
      <c r="N403" s="1498" t="s">
        <v>35</v>
      </c>
      <c r="O403" s="1505" t="s">
        <v>54</v>
      </c>
      <c r="P403" s="1498" t="s">
        <v>37</v>
      </c>
    </row>
    <row r="404" spans="1:16" ht="27" customHeight="1">
      <c r="A404" s="1497" t="s">
        <v>28</v>
      </c>
      <c r="B404" s="1498" t="s">
        <v>455</v>
      </c>
      <c r="C404" s="1498" t="s">
        <v>60</v>
      </c>
      <c r="D404" s="1498" t="s">
        <v>61</v>
      </c>
      <c r="E404" s="1499" t="s">
        <v>69</v>
      </c>
      <c r="F404" s="1498" t="s">
        <v>63</v>
      </c>
      <c r="G404" s="1498" t="s">
        <v>64</v>
      </c>
      <c r="H404" s="1499" t="s">
        <v>458</v>
      </c>
      <c r="I404" s="1504">
        <v>45542</v>
      </c>
      <c r="J404" s="1498">
        <v>60</v>
      </c>
      <c r="K404" s="1498" t="s">
        <v>353</v>
      </c>
      <c r="L404" s="653">
        <v>198500</v>
      </c>
      <c r="M404" s="653">
        <f>IF(ISNUMBER(L404),SUM(L404*20%)+L404,"")</f>
        <v>238200</v>
      </c>
      <c r="N404" s="1498" t="s">
        <v>66</v>
      </c>
      <c r="O404" s="1504" t="s">
        <v>36</v>
      </c>
      <c r="P404" s="1504" t="s">
        <v>37</v>
      </c>
    </row>
    <row r="405" spans="1:16" ht="27" customHeight="1">
      <c r="A405" s="1497" t="s">
        <v>28</v>
      </c>
      <c r="B405" s="1498" t="s">
        <v>35</v>
      </c>
      <c r="C405" s="1498" t="s">
        <v>29</v>
      </c>
      <c r="D405" s="1498" t="s">
        <v>31</v>
      </c>
      <c r="E405" s="1499" t="s">
        <v>32</v>
      </c>
      <c r="F405" s="1498" t="s">
        <v>45</v>
      </c>
      <c r="G405" s="1498" t="s">
        <v>34</v>
      </c>
      <c r="H405" s="1499" t="s">
        <v>1008</v>
      </c>
      <c r="I405" s="1504">
        <v>45546</v>
      </c>
      <c r="J405" s="1502" t="s">
        <v>35</v>
      </c>
      <c r="K405" s="1497" t="s">
        <v>35</v>
      </c>
      <c r="L405" s="653" t="s">
        <v>35</v>
      </c>
      <c r="M405" s="653" t="e">
        <f>SUM(L405*20%)+L405</f>
        <v>#VALUE!</v>
      </c>
      <c r="N405" s="1498" t="s">
        <v>35</v>
      </c>
      <c r="O405" s="1517" t="s">
        <v>36</v>
      </c>
      <c r="P405" s="1502" t="s">
        <v>35</v>
      </c>
    </row>
    <row r="406" spans="1:16" ht="27" customHeight="1">
      <c r="A406" s="1497" t="s">
        <v>28</v>
      </c>
      <c r="B406" s="1498" t="s">
        <v>256</v>
      </c>
      <c r="C406" s="1498" t="s">
        <v>29</v>
      </c>
      <c r="D406" s="1498" t="s">
        <v>31</v>
      </c>
      <c r="E406" s="1499" t="s">
        <v>69</v>
      </c>
      <c r="F406" s="1498" t="s">
        <v>70</v>
      </c>
      <c r="G406" s="1498" t="s">
        <v>64</v>
      </c>
      <c r="H406" s="1499" t="s">
        <v>257</v>
      </c>
      <c r="I406" s="1504">
        <v>45566</v>
      </c>
      <c r="J406" s="1498">
        <v>60</v>
      </c>
      <c r="K406" s="1498" t="s">
        <v>258</v>
      </c>
      <c r="L406" s="653">
        <v>71000</v>
      </c>
      <c r="M406" s="653">
        <f>IF(ISNUMBER(L406),SUM(L406*20%)+L406,"")</f>
        <v>85200</v>
      </c>
      <c r="N406" s="1497" t="s">
        <v>66</v>
      </c>
      <c r="O406" s="1498" t="s">
        <v>36</v>
      </c>
      <c r="P406" s="1498" t="s">
        <v>43</v>
      </c>
    </row>
    <row r="407" spans="1:16" ht="27" customHeight="1">
      <c r="A407" s="1497" t="s">
        <v>28</v>
      </c>
      <c r="B407" s="1498" t="s">
        <v>276</v>
      </c>
      <c r="C407" s="1498" t="s">
        <v>29</v>
      </c>
      <c r="D407" s="1498" t="s">
        <v>31</v>
      </c>
      <c r="E407" s="1499" t="s">
        <v>75</v>
      </c>
      <c r="F407" s="1498" t="s">
        <v>76</v>
      </c>
      <c r="G407" s="1498" t="s">
        <v>64</v>
      </c>
      <c r="H407" s="1499" t="s">
        <v>277</v>
      </c>
      <c r="I407" s="1504">
        <v>45566</v>
      </c>
      <c r="J407" s="1498">
        <v>60</v>
      </c>
      <c r="K407" s="1498" t="s">
        <v>162</v>
      </c>
      <c r="L407" s="653">
        <v>75000</v>
      </c>
      <c r="M407" s="653">
        <f>IF(ISNUMBER(L407),SUM(L407*20%)+L407,"")</f>
        <v>90000</v>
      </c>
      <c r="N407" s="1502" t="s">
        <v>66</v>
      </c>
      <c r="O407" s="1498" t="s">
        <v>36</v>
      </c>
      <c r="P407" s="1498" t="s">
        <v>37</v>
      </c>
    </row>
    <row r="408" spans="1:16" ht="27" customHeight="1">
      <c r="A408" s="1497" t="s">
        <v>28</v>
      </c>
      <c r="B408" s="1498" t="s">
        <v>35</v>
      </c>
      <c r="C408" s="1498" t="s">
        <v>29</v>
      </c>
      <c r="D408" s="1498" t="s">
        <v>31</v>
      </c>
      <c r="E408" s="1499" t="s">
        <v>32</v>
      </c>
      <c r="F408" s="1498" t="s">
        <v>176</v>
      </c>
      <c r="G408" s="1498" t="s">
        <v>64</v>
      </c>
      <c r="H408" s="1499" t="s">
        <v>382</v>
      </c>
      <c r="I408" s="1504">
        <v>45575</v>
      </c>
      <c r="J408" s="1498">
        <v>120</v>
      </c>
      <c r="K408" s="1498" t="s">
        <v>383</v>
      </c>
      <c r="L408" s="653">
        <v>130000</v>
      </c>
      <c r="M408" s="653">
        <f>IF(ISNUMBER(L408),SUM(L408*20%)+L408,"")</f>
        <v>156000</v>
      </c>
      <c r="N408" s="1498" t="s">
        <v>98</v>
      </c>
      <c r="O408" s="1503" t="s">
        <v>35</v>
      </c>
      <c r="P408" s="1503" t="s">
        <v>35</v>
      </c>
    </row>
    <row r="409" spans="1:16" ht="27" customHeight="1">
      <c r="A409" s="1497" t="s">
        <v>28</v>
      </c>
      <c r="B409" s="1498" t="s">
        <v>35</v>
      </c>
      <c r="C409" s="1498" t="s">
        <v>60</v>
      </c>
      <c r="D409" s="1501" t="s">
        <v>61</v>
      </c>
      <c r="E409" s="1499" t="s">
        <v>69</v>
      </c>
      <c r="F409" s="1498" t="s">
        <v>70</v>
      </c>
      <c r="G409" s="1497" t="s">
        <v>34</v>
      </c>
      <c r="H409" s="1508" t="s">
        <v>947</v>
      </c>
      <c r="I409" s="1503">
        <v>45595</v>
      </c>
      <c r="J409" s="1497" t="s">
        <v>35</v>
      </c>
      <c r="K409" s="1497" t="s">
        <v>35</v>
      </c>
      <c r="L409" s="653" t="s">
        <v>35</v>
      </c>
      <c r="M409" s="653" t="e">
        <f>SUM(L409*20%)+L409</f>
        <v>#VALUE!</v>
      </c>
      <c r="N409" s="1498" t="s">
        <v>35</v>
      </c>
      <c r="O409" s="1498" t="s">
        <v>35</v>
      </c>
      <c r="P409" s="1498" t="s">
        <v>35</v>
      </c>
    </row>
    <row r="410" spans="1:16" ht="27" customHeight="1">
      <c r="A410" s="1497" t="s">
        <v>28</v>
      </c>
      <c r="B410" s="1498">
        <v>51363</v>
      </c>
      <c r="C410" s="1498" t="s">
        <v>29</v>
      </c>
      <c r="D410" s="1498" t="s">
        <v>31</v>
      </c>
      <c r="E410" s="1499" t="s">
        <v>69</v>
      </c>
      <c r="F410" s="1498" t="s">
        <v>70</v>
      </c>
      <c r="G410" s="1498" t="s">
        <v>64</v>
      </c>
      <c r="H410" s="1499" t="s">
        <v>206</v>
      </c>
      <c r="I410" s="1504">
        <v>45597</v>
      </c>
      <c r="J410" s="1498">
        <v>60</v>
      </c>
      <c r="K410" s="1497" t="s">
        <v>207</v>
      </c>
      <c r="L410" s="653">
        <v>57502.6</v>
      </c>
      <c r="M410" s="653">
        <f>IF(ISNUMBER(L410),SUM(L410*20%)+L410,"")</f>
        <v>69003.12</v>
      </c>
      <c r="N410" s="1498" t="s">
        <v>66</v>
      </c>
      <c r="O410" s="1517" t="s">
        <v>54</v>
      </c>
      <c r="P410" s="1498" t="s">
        <v>37</v>
      </c>
    </row>
    <row r="411" spans="1:16" ht="27" customHeight="1">
      <c r="A411" s="1497" t="s">
        <v>28</v>
      </c>
      <c r="B411" s="1498">
        <v>53588</v>
      </c>
      <c r="C411" s="1498" t="s">
        <v>29</v>
      </c>
      <c r="D411" s="1498" t="s">
        <v>31</v>
      </c>
      <c r="E411" s="1499" t="s">
        <v>32</v>
      </c>
      <c r="F411" s="1498" t="s">
        <v>336</v>
      </c>
      <c r="G411" s="1498" t="s">
        <v>64</v>
      </c>
      <c r="H411" s="1499" t="s">
        <v>394</v>
      </c>
      <c r="I411" s="1504">
        <v>45597</v>
      </c>
      <c r="J411" s="1498">
        <v>48</v>
      </c>
      <c r="K411" s="1498" t="s">
        <v>395</v>
      </c>
      <c r="L411" s="653">
        <v>135599</v>
      </c>
      <c r="M411" s="653">
        <f>IF(ISNUMBER(L411),SUM(L411*20%)+L411,"")</f>
        <v>162718.79999999999</v>
      </c>
      <c r="N411" s="1497" t="s">
        <v>66</v>
      </c>
      <c r="O411" s="1498" t="s">
        <v>54</v>
      </c>
      <c r="P411" s="1504" t="s">
        <v>37</v>
      </c>
    </row>
    <row r="412" spans="1:16" ht="27" customHeight="1">
      <c r="A412" s="1497" t="s">
        <v>28</v>
      </c>
      <c r="B412" s="1498">
        <v>36463</v>
      </c>
      <c r="C412" s="1498" t="s">
        <v>29</v>
      </c>
      <c r="D412" s="1498" t="s">
        <v>86</v>
      </c>
      <c r="E412" s="1499" t="s">
        <v>133</v>
      </c>
      <c r="F412" s="1498" t="s">
        <v>134</v>
      </c>
      <c r="G412" s="1498" t="s">
        <v>64</v>
      </c>
      <c r="H412" s="1499" t="s">
        <v>826</v>
      </c>
      <c r="I412" s="1504">
        <v>45597</v>
      </c>
      <c r="J412" s="1498">
        <v>48</v>
      </c>
      <c r="K412" s="1512" t="s">
        <v>827</v>
      </c>
      <c r="L412" s="653">
        <v>16000000</v>
      </c>
      <c r="M412" s="653">
        <f>SUM(L412*20%)+L412</f>
        <v>19200000</v>
      </c>
      <c r="N412" s="1498" t="s">
        <v>66</v>
      </c>
      <c r="O412" s="1498" t="s">
        <v>41</v>
      </c>
      <c r="P412" s="1502">
        <v>44711</v>
      </c>
    </row>
    <row r="413" spans="1:16" ht="27" customHeight="1">
      <c r="A413" s="1497" t="s">
        <v>28</v>
      </c>
      <c r="B413" s="1498" t="s">
        <v>998</v>
      </c>
      <c r="C413" s="1498" t="s">
        <v>29</v>
      </c>
      <c r="D413" s="1498" t="s">
        <v>31</v>
      </c>
      <c r="E413" s="1499" t="s">
        <v>69</v>
      </c>
      <c r="F413" s="1498" t="s">
        <v>70</v>
      </c>
      <c r="G413" s="1498" t="s">
        <v>50</v>
      </c>
      <c r="H413" s="1518" t="s">
        <v>999</v>
      </c>
      <c r="I413" s="1574">
        <v>45597</v>
      </c>
      <c r="J413" s="1575" t="s">
        <v>35</v>
      </c>
      <c r="K413" s="1576" t="s">
        <v>35</v>
      </c>
      <c r="L413" s="653" t="s">
        <v>35</v>
      </c>
      <c r="M413" s="653" t="e">
        <f>SUM(L413*20%)+L413</f>
        <v>#VALUE!</v>
      </c>
      <c r="N413" s="1575" t="s">
        <v>35</v>
      </c>
      <c r="O413" s="1504" t="s">
        <v>41</v>
      </c>
      <c r="P413" s="1504" t="s">
        <v>1000</v>
      </c>
    </row>
    <row r="414" spans="1:16" ht="27" customHeight="1">
      <c r="A414" s="1497" t="s">
        <v>28</v>
      </c>
      <c r="B414" s="1498" t="s">
        <v>35</v>
      </c>
      <c r="C414" s="1498" t="s">
        <v>29</v>
      </c>
      <c r="D414" s="1498" t="s">
        <v>31</v>
      </c>
      <c r="E414" s="1499" t="s">
        <v>69</v>
      </c>
      <c r="F414" s="1498" t="s">
        <v>70</v>
      </c>
      <c r="G414" s="1498" t="s">
        <v>34</v>
      </c>
      <c r="H414" s="1499" t="s">
        <v>1001</v>
      </c>
      <c r="I414" s="1504">
        <v>45597</v>
      </c>
      <c r="J414" s="1498" t="s">
        <v>35</v>
      </c>
      <c r="K414" s="1498" t="s">
        <v>35</v>
      </c>
      <c r="L414" s="653" t="s">
        <v>35</v>
      </c>
      <c r="M414" s="653" t="e">
        <f>SUM(L414*20%)+L414</f>
        <v>#VALUE!</v>
      </c>
      <c r="N414" s="1502" t="s">
        <v>35</v>
      </c>
      <c r="O414" s="1504" t="s">
        <v>36</v>
      </c>
      <c r="P414" s="1504" t="s">
        <v>37</v>
      </c>
    </row>
    <row r="415" spans="1:16" ht="27" customHeight="1">
      <c r="A415" s="1497" t="s">
        <v>28</v>
      </c>
      <c r="B415" s="1498">
        <v>34436</v>
      </c>
      <c r="C415" s="1498" t="s">
        <v>29</v>
      </c>
      <c r="D415" s="1498" t="s">
        <v>86</v>
      </c>
      <c r="E415" s="1499" t="s">
        <v>69</v>
      </c>
      <c r="F415" s="1498" t="s">
        <v>70</v>
      </c>
      <c r="G415" s="1498" t="s">
        <v>64</v>
      </c>
      <c r="H415" s="1499" t="s">
        <v>398</v>
      </c>
      <c r="I415" s="1504">
        <v>45601</v>
      </c>
      <c r="J415" s="1498">
        <v>48</v>
      </c>
      <c r="K415" s="1498" t="s">
        <v>191</v>
      </c>
      <c r="L415" s="653">
        <v>136000</v>
      </c>
      <c r="M415" s="653">
        <f>IF(ISNUMBER(L415),SUM(L415*20%)+L415,"")</f>
        <v>163200</v>
      </c>
      <c r="N415" s="1498" t="s">
        <v>66</v>
      </c>
      <c r="O415" s="1498" t="s">
        <v>36</v>
      </c>
      <c r="P415" s="1498" t="s">
        <v>37</v>
      </c>
    </row>
    <row r="416" spans="1:16" ht="27" customHeight="1">
      <c r="A416" s="1497" t="s">
        <v>28</v>
      </c>
      <c r="B416" s="1498" t="s">
        <v>777</v>
      </c>
      <c r="C416" s="1498" t="s">
        <v>29</v>
      </c>
      <c r="D416" s="1498" t="s">
        <v>31</v>
      </c>
      <c r="E416" s="1499" t="s">
        <v>32</v>
      </c>
      <c r="F416" s="1498" t="s">
        <v>45</v>
      </c>
      <c r="G416" s="1498" t="s">
        <v>64</v>
      </c>
      <c r="H416" s="1499" t="s">
        <v>778</v>
      </c>
      <c r="I416" s="1504">
        <v>45605</v>
      </c>
      <c r="J416" s="1498">
        <v>54</v>
      </c>
      <c r="K416" s="1512" t="s">
        <v>779</v>
      </c>
      <c r="L416" s="653">
        <v>4250000</v>
      </c>
      <c r="M416" s="653">
        <f>SUM(L416*20%)+L416</f>
        <v>5100000</v>
      </c>
      <c r="N416" s="1497" t="s">
        <v>66</v>
      </c>
      <c r="O416" s="1498" t="s">
        <v>41</v>
      </c>
      <c r="P416" s="1502" t="s">
        <v>35</v>
      </c>
    </row>
    <row r="417" spans="1:16" ht="27" customHeight="1">
      <c r="A417" s="1497" t="s">
        <v>28</v>
      </c>
      <c r="B417" s="1498" t="s">
        <v>585</v>
      </c>
      <c r="C417" s="1498" t="s">
        <v>29</v>
      </c>
      <c r="D417" s="1498" t="s">
        <v>31</v>
      </c>
      <c r="E417" s="1499" t="s">
        <v>69</v>
      </c>
      <c r="F417" s="1498" t="s">
        <v>70</v>
      </c>
      <c r="G417" s="1498" t="s">
        <v>64</v>
      </c>
      <c r="H417" s="1499" t="s">
        <v>586</v>
      </c>
      <c r="I417" s="1557">
        <v>45607</v>
      </c>
      <c r="J417" s="1498">
        <v>120</v>
      </c>
      <c r="K417" s="1512" t="s">
        <v>618</v>
      </c>
      <c r="L417" s="653">
        <v>723364.8</v>
      </c>
      <c r="M417" s="653">
        <f>SUM(L417*20%)+L417</f>
        <v>868037.76</v>
      </c>
      <c r="N417" s="1498" t="s">
        <v>66</v>
      </c>
      <c r="O417" s="1504" t="s">
        <v>41</v>
      </c>
      <c r="P417" s="1504" t="s">
        <v>619</v>
      </c>
    </row>
    <row r="418" spans="1:16" ht="27" customHeight="1">
      <c r="A418" s="1497" t="s">
        <v>28</v>
      </c>
      <c r="B418" s="1498" t="s">
        <v>111</v>
      </c>
      <c r="C418" s="1498" t="s">
        <v>29</v>
      </c>
      <c r="D418" s="1498" t="s">
        <v>31</v>
      </c>
      <c r="E418" s="1499" t="s">
        <v>69</v>
      </c>
      <c r="F418" s="1498" t="s">
        <v>70</v>
      </c>
      <c r="G418" s="1498" t="s">
        <v>34</v>
      </c>
      <c r="H418" s="1499" t="s">
        <v>112</v>
      </c>
      <c r="I418" s="1504">
        <v>45626</v>
      </c>
      <c r="J418" s="1498" t="s">
        <v>35</v>
      </c>
      <c r="K418" s="1512" t="s">
        <v>35</v>
      </c>
      <c r="L418" s="653" t="s">
        <v>35</v>
      </c>
      <c r="M418" s="653" t="str">
        <f>IF(ISNUMBER(L418),SUM(L418*20%)+L418,"")</f>
        <v/>
      </c>
      <c r="N418" s="1498" t="s">
        <v>35</v>
      </c>
      <c r="O418" s="1498" t="s">
        <v>36</v>
      </c>
      <c r="P418" s="1498" t="s">
        <v>35</v>
      </c>
    </row>
    <row r="419" spans="1:16" ht="27" customHeight="1">
      <c r="A419" s="1497" t="s">
        <v>28</v>
      </c>
      <c r="B419" s="1498" t="s">
        <v>35</v>
      </c>
      <c r="C419" s="1498" t="s">
        <v>29</v>
      </c>
      <c r="D419" s="1498" t="s">
        <v>31</v>
      </c>
      <c r="E419" s="1499" t="s">
        <v>69</v>
      </c>
      <c r="F419" s="1498" t="s">
        <v>70</v>
      </c>
      <c r="G419" s="1498" t="s">
        <v>34</v>
      </c>
      <c r="H419" s="1499" t="s">
        <v>1004</v>
      </c>
      <c r="I419" s="1504">
        <v>45626</v>
      </c>
      <c r="J419" s="1498" t="s">
        <v>35</v>
      </c>
      <c r="K419" s="1512" t="s">
        <v>35</v>
      </c>
      <c r="L419" s="653" t="s">
        <v>35</v>
      </c>
      <c r="M419" s="653" t="e">
        <f>SUM(L419*20%)+L419</f>
        <v>#VALUE!</v>
      </c>
      <c r="N419" s="1498" t="s">
        <v>35</v>
      </c>
      <c r="O419" s="1506" t="s">
        <v>54</v>
      </c>
      <c r="P419" s="1498" t="s">
        <v>37</v>
      </c>
    </row>
    <row r="420" spans="1:16" ht="27" customHeight="1">
      <c r="A420" s="1497" t="s">
        <v>28</v>
      </c>
      <c r="B420" s="1498"/>
      <c r="C420" s="1498" t="s">
        <v>29</v>
      </c>
      <c r="D420" s="1498" t="s">
        <v>82</v>
      </c>
      <c r="E420" s="1499" t="s">
        <v>69</v>
      </c>
      <c r="F420" s="1498" t="s">
        <v>70</v>
      </c>
      <c r="G420" s="1498" t="s">
        <v>34</v>
      </c>
      <c r="H420" s="1499" t="s">
        <v>1006</v>
      </c>
      <c r="I420" s="1504">
        <v>45626</v>
      </c>
      <c r="J420" s="1498" t="s">
        <v>35</v>
      </c>
      <c r="K420" s="1498" t="s">
        <v>35</v>
      </c>
      <c r="L420" s="653" t="s">
        <v>35</v>
      </c>
      <c r="M420" s="653" t="e">
        <f>SUM(L420*20%)+L420</f>
        <v>#VALUE!</v>
      </c>
      <c r="N420" s="1498" t="s">
        <v>35</v>
      </c>
      <c r="O420" s="1498" t="s">
        <v>35</v>
      </c>
      <c r="P420" s="1498" t="s">
        <v>35</v>
      </c>
    </row>
    <row r="421" spans="1:16" ht="27" customHeight="1">
      <c r="A421" s="1497" t="s">
        <v>28</v>
      </c>
      <c r="B421" s="1497" t="s">
        <v>850</v>
      </c>
      <c r="C421" s="1498" t="s">
        <v>29</v>
      </c>
      <c r="D421" s="1498" t="s">
        <v>86</v>
      </c>
      <c r="E421" s="1499" t="s">
        <v>133</v>
      </c>
      <c r="F421" s="1498" t="s">
        <v>134</v>
      </c>
      <c r="G421" s="1498" t="s">
        <v>64</v>
      </c>
      <c r="H421" s="1499" t="s">
        <v>135</v>
      </c>
      <c r="I421" s="1504">
        <v>45627</v>
      </c>
      <c r="J421" s="1498">
        <v>48</v>
      </c>
      <c r="K421" s="1512" t="s">
        <v>535</v>
      </c>
      <c r="L421" s="653">
        <v>50000000</v>
      </c>
      <c r="M421" s="653">
        <f>SUM(L421*20%)+L421</f>
        <v>60000000</v>
      </c>
      <c r="N421" s="1498" t="s">
        <v>66</v>
      </c>
      <c r="O421" s="1498" t="s">
        <v>41</v>
      </c>
      <c r="P421" s="1498" t="s">
        <v>35</v>
      </c>
    </row>
    <row r="422" spans="1:16" ht="27" customHeight="1">
      <c r="A422" s="1497" t="s">
        <v>28</v>
      </c>
      <c r="B422" s="1498"/>
      <c r="C422" s="1498" t="s">
        <v>60</v>
      </c>
      <c r="D422" s="1501" t="s">
        <v>61</v>
      </c>
      <c r="E422" s="1499" t="s">
        <v>69</v>
      </c>
      <c r="F422" s="1498" t="s">
        <v>70</v>
      </c>
      <c r="G422" s="1498" t="s">
        <v>34</v>
      </c>
      <c r="H422" s="1499" t="s">
        <v>1007</v>
      </c>
      <c r="I422" s="1504">
        <v>45627</v>
      </c>
      <c r="J422" s="1498" t="s">
        <v>35</v>
      </c>
      <c r="K422" s="1498" t="s">
        <v>35</v>
      </c>
      <c r="L422" s="653" t="s">
        <v>35</v>
      </c>
      <c r="M422" s="653" t="e">
        <f>SUM(L422*20%)+L422</f>
        <v>#VALUE!</v>
      </c>
      <c r="N422" s="1498" t="s">
        <v>35</v>
      </c>
      <c r="O422" s="1498" t="s">
        <v>54</v>
      </c>
      <c r="P422" s="1498" t="s">
        <v>37</v>
      </c>
    </row>
    <row r="423" spans="1:16" ht="27" customHeight="1">
      <c r="A423" s="1497" t="s">
        <v>28</v>
      </c>
      <c r="B423" s="1497" t="s">
        <v>246</v>
      </c>
      <c r="C423" s="1498" t="s">
        <v>82</v>
      </c>
      <c r="D423" s="1498" t="s">
        <v>31</v>
      </c>
      <c r="E423" s="1499" t="s">
        <v>75</v>
      </c>
      <c r="F423" s="1498" t="s">
        <v>76</v>
      </c>
      <c r="G423" s="1498" t="s">
        <v>64</v>
      </c>
      <c r="H423" s="1499" t="s">
        <v>247</v>
      </c>
      <c r="I423" s="1504">
        <v>45639</v>
      </c>
      <c r="J423" s="1498">
        <v>84</v>
      </c>
      <c r="K423" s="1498" t="s">
        <v>248</v>
      </c>
      <c r="L423" s="653">
        <v>65000</v>
      </c>
      <c r="M423" s="653">
        <f>IF(ISNUMBER(L423),SUM(L423*20%)+L423,"")</f>
        <v>78000</v>
      </c>
      <c r="N423" s="1498" t="s">
        <v>66</v>
      </c>
      <c r="O423" s="1498" t="s">
        <v>54</v>
      </c>
      <c r="P423" s="1498" t="s">
        <v>37</v>
      </c>
    </row>
    <row r="424" spans="1:16" ht="27" customHeight="1">
      <c r="A424" s="1497" t="s">
        <v>28</v>
      </c>
      <c r="B424" s="1498" t="s">
        <v>35</v>
      </c>
      <c r="C424" s="1498" t="s">
        <v>29</v>
      </c>
      <c r="D424" s="1498" t="s">
        <v>31</v>
      </c>
      <c r="E424" s="1499" t="s">
        <v>69</v>
      </c>
      <c r="F424" s="1498" t="s">
        <v>70</v>
      </c>
      <c r="G424" s="1498" t="s">
        <v>34</v>
      </c>
      <c r="H424" s="1499" t="s">
        <v>302</v>
      </c>
      <c r="I424" s="1504">
        <v>45645</v>
      </c>
      <c r="J424" s="1498">
        <v>60</v>
      </c>
      <c r="K424" s="1512" t="s">
        <v>143</v>
      </c>
      <c r="L424" s="653">
        <v>86306.16</v>
      </c>
      <c r="M424" s="653">
        <f>IF(ISNUMBER(L424),SUM(L424*20%)+L424,"")</f>
        <v>103567.39200000001</v>
      </c>
      <c r="N424" s="1498" t="s">
        <v>46</v>
      </c>
      <c r="O424" s="1503" t="s">
        <v>36</v>
      </c>
      <c r="P424" s="1503" t="s">
        <v>37</v>
      </c>
    </row>
    <row r="425" spans="1:16" ht="27" customHeight="1">
      <c r="A425" s="1497" t="s">
        <v>28</v>
      </c>
      <c r="B425" s="1498" t="s">
        <v>35</v>
      </c>
      <c r="C425" s="1498" t="s">
        <v>29</v>
      </c>
      <c r="D425" s="1498" t="s">
        <v>31</v>
      </c>
      <c r="E425" s="1499" t="s">
        <v>69</v>
      </c>
      <c r="F425" s="1498" t="s">
        <v>70</v>
      </c>
      <c r="G425" s="1498" t="s">
        <v>34</v>
      </c>
      <c r="H425" s="1518" t="s">
        <v>300</v>
      </c>
      <c r="I425" s="1504">
        <v>45646</v>
      </c>
      <c r="J425" s="1498" t="s">
        <v>35</v>
      </c>
      <c r="K425" s="1512" t="s">
        <v>35</v>
      </c>
      <c r="L425" s="653">
        <v>86306</v>
      </c>
      <c r="M425" s="653">
        <f>IF(ISNUMBER(L425),SUM(L425*20%)+L425,"")</f>
        <v>103567.2</v>
      </c>
      <c r="N425" s="1498" t="s">
        <v>35</v>
      </c>
      <c r="O425" s="1498" t="s">
        <v>54</v>
      </c>
      <c r="P425" s="1498" t="s">
        <v>37</v>
      </c>
    </row>
    <row r="426" spans="1:16" ht="27" customHeight="1">
      <c r="A426" s="1497" t="s">
        <v>28</v>
      </c>
      <c r="B426" s="1498" t="s">
        <v>35</v>
      </c>
      <c r="C426" s="1498" t="s">
        <v>29</v>
      </c>
      <c r="D426" s="1498" t="s">
        <v>31</v>
      </c>
      <c r="E426" s="1499" t="s">
        <v>69</v>
      </c>
      <c r="F426" s="1498" t="s">
        <v>70</v>
      </c>
      <c r="G426" s="1498" t="s">
        <v>34</v>
      </c>
      <c r="H426" s="1499" t="s">
        <v>1009</v>
      </c>
      <c r="I426" s="1504">
        <v>45657</v>
      </c>
      <c r="J426" s="1498" t="s">
        <v>35</v>
      </c>
      <c r="K426" s="1498" t="s">
        <v>35</v>
      </c>
      <c r="L426" s="653" t="s">
        <v>35</v>
      </c>
      <c r="M426" s="653" t="e">
        <f>SUM(L426*20%)+L426</f>
        <v>#VALUE!</v>
      </c>
      <c r="N426" s="1498" t="s">
        <v>35</v>
      </c>
      <c r="O426" s="1498" t="s">
        <v>41</v>
      </c>
      <c r="P426" s="1498" t="s">
        <v>35</v>
      </c>
    </row>
    <row r="427" spans="1:16" ht="27" customHeight="1">
      <c r="A427" s="1497" t="s">
        <v>28</v>
      </c>
      <c r="B427" s="1498" t="s">
        <v>581</v>
      </c>
      <c r="C427" s="1498" t="s">
        <v>29</v>
      </c>
      <c r="D427" s="1498" t="s">
        <v>86</v>
      </c>
      <c r="E427" s="1499" t="s">
        <v>119</v>
      </c>
      <c r="F427" s="1498" t="s">
        <v>119</v>
      </c>
      <c r="G427" s="1498" t="s">
        <v>64</v>
      </c>
      <c r="H427" s="1499" t="s">
        <v>582</v>
      </c>
      <c r="I427" s="1504">
        <v>45658</v>
      </c>
      <c r="J427" s="1498">
        <v>48</v>
      </c>
      <c r="K427" s="1512" t="s">
        <v>298</v>
      </c>
      <c r="L427" s="653">
        <v>582000</v>
      </c>
      <c r="M427" s="653">
        <f>SUM(L427*20%)+L427</f>
        <v>698400</v>
      </c>
      <c r="N427" s="1498" t="s">
        <v>66</v>
      </c>
      <c r="O427" s="1498" t="s">
        <v>36</v>
      </c>
      <c r="P427" s="1502"/>
    </row>
    <row r="428" spans="1:16" ht="27" customHeight="1">
      <c r="A428" s="1497" t="s">
        <v>28</v>
      </c>
      <c r="B428" s="1498" t="s">
        <v>35</v>
      </c>
      <c r="C428" s="1498" t="s">
        <v>29</v>
      </c>
      <c r="D428" s="1498" t="s">
        <v>31</v>
      </c>
      <c r="E428" s="1499" t="s">
        <v>69</v>
      </c>
      <c r="F428" s="1498" t="s">
        <v>70</v>
      </c>
      <c r="G428" s="1498" t="s">
        <v>34</v>
      </c>
      <c r="H428" s="1499" t="s">
        <v>774</v>
      </c>
      <c r="I428" s="1504">
        <v>45658</v>
      </c>
      <c r="J428" s="1498" t="s">
        <v>35</v>
      </c>
      <c r="K428" s="1498" t="s">
        <v>35</v>
      </c>
      <c r="L428" s="653">
        <v>4000000</v>
      </c>
      <c r="M428" s="653">
        <f>SUM(L428*20%)+L428</f>
        <v>4800000</v>
      </c>
      <c r="N428" s="1498" t="s">
        <v>35</v>
      </c>
      <c r="O428" s="1498" t="s">
        <v>35</v>
      </c>
      <c r="P428" s="1498" t="s">
        <v>35</v>
      </c>
    </row>
    <row r="429" spans="1:16" ht="27" customHeight="1">
      <c r="A429" s="1497" t="s">
        <v>28</v>
      </c>
      <c r="B429" s="1498">
        <v>38914</v>
      </c>
      <c r="C429" s="1498" t="s">
        <v>29</v>
      </c>
      <c r="D429" s="1498" t="s">
        <v>31</v>
      </c>
      <c r="E429" s="1499" t="s">
        <v>69</v>
      </c>
      <c r="F429" s="1498" t="s">
        <v>70</v>
      </c>
      <c r="G429" s="1498" t="s">
        <v>34</v>
      </c>
      <c r="H429" s="1499" t="s">
        <v>1014</v>
      </c>
      <c r="I429" s="1504">
        <v>45658</v>
      </c>
      <c r="J429" s="1498" t="s">
        <v>35</v>
      </c>
      <c r="K429" s="1512" t="s">
        <v>35</v>
      </c>
      <c r="L429" s="653" t="s">
        <v>35</v>
      </c>
      <c r="M429" s="653" t="e">
        <f>SUM(L429*20%)+L429</f>
        <v>#VALUE!</v>
      </c>
      <c r="N429" s="1498" t="s">
        <v>35</v>
      </c>
      <c r="O429" s="1498" t="s">
        <v>41</v>
      </c>
      <c r="P429" s="1502" t="s">
        <v>35</v>
      </c>
    </row>
    <row r="430" spans="1:16" ht="27" customHeight="1">
      <c r="A430" s="1497" t="s">
        <v>28</v>
      </c>
      <c r="B430" s="1498" t="s">
        <v>35</v>
      </c>
      <c r="C430" s="1498" t="s">
        <v>29</v>
      </c>
      <c r="D430" s="1498" t="s">
        <v>327</v>
      </c>
      <c r="E430" s="1499" t="s">
        <v>866</v>
      </c>
      <c r="F430" s="1498" t="s">
        <v>867</v>
      </c>
      <c r="G430" s="1498" t="s">
        <v>879</v>
      </c>
      <c r="H430" s="1499" t="s">
        <v>868</v>
      </c>
      <c r="I430" s="1504">
        <v>45659</v>
      </c>
      <c r="J430" s="1498" t="s">
        <v>35</v>
      </c>
      <c r="K430" s="1512" t="s">
        <v>35</v>
      </c>
      <c r="L430" s="653" t="s">
        <v>35</v>
      </c>
      <c r="M430" s="653" t="e">
        <f>SUM(L430*20%)+L430</f>
        <v>#VALUE!</v>
      </c>
      <c r="N430" s="1498" t="s">
        <v>35</v>
      </c>
      <c r="O430" s="1506" t="s">
        <v>36</v>
      </c>
      <c r="P430" s="1498" t="s">
        <v>37</v>
      </c>
    </row>
    <row r="431" spans="1:16" ht="27" customHeight="1">
      <c r="A431" s="1497" t="s">
        <v>28</v>
      </c>
      <c r="B431" s="1498"/>
      <c r="C431" s="1498" t="s">
        <v>29</v>
      </c>
      <c r="D431" s="1498" t="s">
        <v>31</v>
      </c>
      <c r="E431" s="1499" t="s">
        <v>69</v>
      </c>
      <c r="F431" s="1498" t="s">
        <v>70</v>
      </c>
      <c r="G431" s="1498" t="s">
        <v>34</v>
      </c>
      <c r="H431" s="1499" t="s">
        <v>1012</v>
      </c>
      <c r="I431" s="1504">
        <v>45667</v>
      </c>
      <c r="J431" s="1498" t="s">
        <v>35</v>
      </c>
      <c r="K431" s="1498" t="s">
        <v>35</v>
      </c>
      <c r="L431" s="653" t="s">
        <v>35</v>
      </c>
      <c r="M431" s="653" t="e">
        <f>SUM(L431*20%)+L431</f>
        <v>#VALUE!</v>
      </c>
      <c r="N431" s="1498" t="s">
        <v>35</v>
      </c>
      <c r="O431" s="1498" t="s">
        <v>36</v>
      </c>
      <c r="P431" s="1498" t="s">
        <v>35</v>
      </c>
    </row>
    <row r="432" spans="1:16" ht="27" customHeight="1">
      <c r="A432" s="1497" t="s">
        <v>28</v>
      </c>
      <c r="B432" s="1498" t="s">
        <v>417</v>
      </c>
      <c r="C432" s="1498" t="s">
        <v>60</v>
      </c>
      <c r="D432" s="1498" t="s">
        <v>61</v>
      </c>
      <c r="E432" s="1499" t="s">
        <v>62</v>
      </c>
      <c r="F432" s="1498" t="s">
        <v>63</v>
      </c>
      <c r="G432" s="1498" t="s">
        <v>64</v>
      </c>
      <c r="H432" s="1499" t="s">
        <v>418</v>
      </c>
      <c r="I432" s="1504">
        <v>45671</v>
      </c>
      <c r="J432" s="1498">
        <v>63</v>
      </c>
      <c r="K432" s="1497" t="s">
        <v>419</v>
      </c>
      <c r="L432" s="653">
        <v>157248.82</v>
      </c>
      <c r="M432" s="653">
        <f>IF(ISNUMBER(L432),SUM(L432*20%)+L432,"")</f>
        <v>188698.584</v>
      </c>
      <c r="N432" s="1498" t="s">
        <v>163</v>
      </c>
      <c r="O432" s="1498" t="s">
        <v>36</v>
      </c>
      <c r="P432" s="1498" t="s">
        <v>43</v>
      </c>
    </row>
    <row r="433" spans="1:16" ht="27" customHeight="1">
      <c r="A433" s="1497" t="s">
        <v>28</v>
      </c>
      <c r="B433" s="1498" t="s">
        <v>35</v>
      </c>
      <c r="C433" s="1498" t="s">
        <v>29</v>
      </c>
      <c r="D433" s="1498" t="s">
        <v>86</v>
      </c>
      <c r="E433" s="1499" t="s">
        <v>69</v>
      </c>
      <c r="F433" s="1498" t="s">
        <v>70</v>
      </c>
      <c r="G433" s="1498" t="s">
        <v>34</v>
      </c>
      <c r="H433" s="1499" t="s">
        <v>939</v>
      </c>
      <c r="I433" s="1504">
        <v>45689</v>
      </c>
      <c r="J433" s="1498" t="s">
        <v>35</v>
      </c>
      <c r="K433" s="1512" t="s">
        <v>35</v>
      </c>
      <c r="L433" s="653" t="s">
        <v>35</v>
      </c>
      <c r="M433" s="653" t="e">
        <f>SUM(L433*20%)+L433</f>
        <v>#VALUE!</v>
      </c>
      <c r="N433" s="1502" t="s">
        <v>35</v>
      </c>
      <c r="O433" s="1498" t="s">
        <v>41</v>
      </c>
      <c r="P433" s="1502" t="s">
        <v>35</v>
      </c>
    </row>
    <row r="434" spans="1:16" ht="27" customHeight="1">
      <c r="A434" s="1497" t="s">
        <v>28</v>
      </c>
      <c r="B434" s="1498"/>
      <c r="C434" s="1498" t="s">
        <v>29</v>
      </c>
      <c r="D434" s="1498" t="s">
        <v>86</v>
      </c>
      <c r="E434" s="1499" t="s">
        <v>119</v>
      </c>
      <c r="F434" s="1498" t="s">
        <v>33</v>
      </c>
      <c r="G434" s="1498" t="s">
        <v>34</v>
      </c>
      <c r="H434" s="1499" t="s">
        <v>623</v>
      </c>
      <c r="I434" s="1504">
        <v>45710</v>
      </c>
      <c r="J434" s="1498" t="s">
        <v>35</v>
      </c>
      <c r="K434" s="1498" t="s">
        <v>35</v>
      </c>
      <c r="L434" s="653" t="s">
        <v>35</v>
      </c>
      <c r="M434" s="653" t="e">
        <f>SUM(L434*20%)+L434</f>
        <v>#VALUE!</v>
      </c>
      <c r="N434" s="1498" t="s">
        <v>35</v>
      </c>
      <c r="O434" s="1503" t="s">
        <v>41</v>
      </c>
      <c r="P434" s="1503" t="s">
        <v>35</v>
      </c>
    </row>
    <row r="435" spans="1:16" ht="27" customHeight="1">
      <c r="A435" s="1497" t="s">
        <v>28</v>
      </c>
      <c r="B435" s="1497" t="s">
        <v>35</v>
      </c>
      <c r="C435" s="1498" t="s">
        <v>29</v>
      </c>
      <c r="D435" s="1498" t="s">
        <v>31</v>
      </c>
      <c r="E435" s="1499" t="s">
        <v>69</v>
      </c>
      <c r="F435" s="1498" t="s">
        <v>70</v>
      </c>
      <c r="G435" s="1497" t="s">
        <v>34</v>
      </c>
      <c r="H435" s="1508" t="s">
        <v>1026</v>
      </c>
      <c r="I435" s="1504">
        <v>45717</v>
      </c>
      <c r="J435" s="1512" t="s">
        <v>35</v>
      </c>
      <c r="K435" s="1512" t="s">
        <v>35</v>
      </c>
      <c r="L435" s="653" t="s">
        <v>35</v>
      </c>
      <c r="M435" s="653" t="e">
        <f>SUM(L435*20%)+L435</f>
        <v>#VALUE!</v>
      </c>
      <c r="N435" s="1498" t="s">
        <v>35</v>
      </c>
      <c r="O435" s="1498" t="s">
        <v>110</v>
      </c>
      <c r="P435" s="1498" t="s">
        <v>37</v>
      </c>
    </row>
    <row r="436" spans="1:16" ht="27" customHeight="1">
      <c r="A436" s="1497" t="s">
        <v>28</v>
      </c>
      <c r="B436" s="1497" t="s">
        <v>439</v>
      </c>
      <c r="C436" s="1498" t="s">
        <v>29</v>
      </c>
      <c r="D436" s="1498" t="s">
        <v>31</v>
      </c>
      <c r="E436" s="1499" t="s">
        <v>69</v>
      </c>
      <c r="F436" s="1498" t="s">
        <v>70</v>
      </c>
      <c r="G436" s="1498" t="s">
        <v>64</v>
      </c>
      <c r="H436" s="1499" t="s">
        <v>440</v>
      </c>
      <c r="I436" s="1504">
        <v>45724</v>
      </c>
      <c r="J436" s="1498">
        <v>96</v>
      </c>
      <c r="K436" s="1512" t="s">
        <v>441</v>
      </c>
      <c r="L436" s="653">
        <v>177098</v>
      </c>
      <c r="M436" s="653">
        <f>IF(ISNUMBER(L436),SUM(L436*20%)+L436,"")</f>
        <v>212517.6</v>
      </c>
      <c r="N436" s="1498" t="s">
        <v>66</v>
      </c>
      <c r="O436" s="1498" t="s">
        <v>36</v>
      </c>
      <c r="P436" s="1498" t="s">
        <v>37</v>
      </c>
    </row>
    <row r="437" spans="1:16" ht="27" customHeight="1">
      <c r="A437" s="1497" t="s">
        <v>28</v>
      </c>
      <c r="B437" s="1498" t="s">
        <v>35</v>
      </c>
      <c r="C437" s="1498" t="s">
        <v>29</v>
      </c>
      <c r="D437" s="1498" t="s">
        <v>31</v>
      </c>
      <c r="E437" s="1499" t="s">
        <v>69</v>
      </c>
      <c r="F437" s="1498" t="s">
        <v>70</v>
      </c>
      <c r="G437" s="1498" t="s">
        <v>34</v>
      </c>
      <c r="H437" s="1499" t="s">
        <v>1011</v>
      </c>
      <c r="I437" s="1504">
        <v>45724</v>
      </c>
      <c r="J437" s="1498" t="s">
        <v>35</v>
      </c>
      <c r="K437" s="1512" t="s">
        <v>35</v>
      </c>
      <c r="L437" s="653" t="s">
        <v>35</v>
      </c>
      <c r="M437" s="653" t="e">
        <f>SUM(L437*20%)+L437</f>
        <v>#VALUE!</v>
      </c>
      <c r="N437" s="1497" t="s">
        <v>98</v>
      </c>
      <c r="O437" s="1498" t="s">
        <v>35</v>
      </c>
      <c r="P437" s="1498" t="s">
        <v>35</v>
      </c>
    </row>
    <row r="438" spans="1:16" ht="27" customHeight="1">
      <c r="A438" s="1497" t="s">
        <v>28</v>
      </c>
      <c r="B438" s="1498" t="s">
        <v>35</v>
      </c>
      <c r="C438" s="1498" t="s">
        <v>60</v>
      </c>
      <c r="D438" s="1498" t="s">
        <v>195</v>
      </c>
      <c r="E438" s="1499" t="s">
        <v>310</v>
      </c>
      <c r="F438" s="1498" t="s">
        <v>311</v>
      </c>
      <c r="G438" s="1498" t="s">
        <v>34</v>
      </c>
      <c r="H438" s="1499" t="s">
        <v>502</v>
      </c>
      <c r="I438" s="1504">
        <v>45730</v>
      </c>
      <c r="J438" s="1501" t="s">
        <v>35</v>
      </c>
      <c r="K438" s="1501" t="s">
        <v>35</v>
      </c>
      <c r="L438" s="653" t="s">
        <v>35</v>
      </c>
      <c r="M438" s="653" t="e">
        <f>SUM(L438*20%)+L438</f>
        <v>#VALUE!</v>
      </c>
      <c r="N438" s="1498" t="s">
        <v>35</v>
      </c>
      <c r="O438" s="1517" t="s">
        <v>35</v>
      </c>
      <c r="P438" s="1502" t="s">
        <v>35</v>
      </c>
    </row>
    <row r="439" spans="1:16" ht="27" customHeight="1">
      <c r="A439" s="1497" t="s">
        <v>28</v>
      </c>
      <c r="B439" s="1498" t="s">
        <v>348</v>
      </c>
      <c r="C439" s="1498" t="s">
        <v>29</v>
      </c>
      <c r="D439" s="1498" t="s">
        <v>61</v>
      </c>
      <c r="E439" s="1499" t="s">
        <v>180</v>
      </c>
      <c r="F439" s="1498" t="s">
        <v>349</v>
      </c>
      <c r="G439" s="1498" t="s">
        <v>64</v>
      </c>
      <c r="H439" s="1499" t="s">
        <v>350</v>
      </c>
      <c r="I439" s="1504">
        <v>45747</v>
      </c>
      <c r="J439" s="1498">
        <v>60</v>
      </c>
      <c r="K439" s="1512" t="s">
        <v>353</v>
      </c>
      <c r="L439" s="653">
        <v>112055</v>
      </c>
      <c r="M439" s="653">
        <f>IF(ISNUMBER(L439),SUM(L439*20%)+L439,"")</f>
        <v>134466</v>
      </c>
      <c r="N439" s="1498" t="s">
        <v>66</v>
      </c>
      <c r="O439" s="1498" t="s">
        <v>36</v>
      </c>
      <c r="P439" s="1498" t="s">
        <v>37</v>
      </c>
    </row>
    <row r="440" spans="1:16" ht="27" customHeight="1">
      <c r="A440" s="1509" t="s">
        <v>28</v>
      </c>
      <c r="B440" s="1501">
        <v>38992</v>
      </c>
      <c r="C440" s="1554" t="s">
        <v>29</v>
      </c>
      <c r="D440" s="1498" t="s">
        <v>31</v>
      </c>
      <c r="E440" s="1499" t="s">
        <v>69</v>
      </c>
      <c r="F440" s="1501" t="s">
        <v>70</v>
      </c>
      <c r="G440" s="1498" t="s">
        <v>34</v>
      </c>
      <c r="H440" s="1499" t="s">
        <v>115</v>
      </c>
      <c r="I440" s="1555">
        <v>45748</v>
      </c>
      <c r="J440" s="1556"/>
      <c r="K440" s="1556"/>
      <c r="L440" s="653" t="s">
        <v>35</v>
      </c>
      <c r="M440" s="653" t="str">
        <f>IF(ISNUMBER(L440),SUM(L440*20%)+L440,"")</f>
        <v/>
      </c>
      <c r="N440" s="1556" t="s">
        <v>35</v>
      </c>
      <c r="O440" s="1556" t="s">
        <v>36</v>
      </c>
      <c r="P440" s="1556" t="s">
        <v>37</v>
      </c>
    </row>
    <row r="441" spans="1:16" ht="27" customHeight="1">
      <c r="A441" s="1497" t="s">
        <v>28</v>
      </c>
      <c r="B441" s="1498" t="s">
        <v>35</v>
      </c>
      <c r="C441" s="1498" t="s">
        <v>29</v>
      </c>
      <c r="D441" s="1498" t="s">
        <v>31</v>
      </c>
      <c r="E441" s="1499" t="s">
        <v>69</v>
      </c>
      <c r="F441" s="1498" t="s">
        <v>70</v>
      </c>
      <c r="G441" s="1498" t="s">
        <v>34</v>
      </c>
      <c r="H441" s="1499" t="s">
        <v>116</v>
      </c>
      <c r="I441" s="1504">
        <v>45748</v>
      </c>
      <c r="J441" s="1498" t="s">
        <v>35</v>
      </c>
      <c r="K441" s="1498" t="s">
        <v>35</v>
      </c>
      <c r="L441" s="653" t="s">
        <v>35</v>
      </c>
      <c r="M441" s="653" t="str">
        <f>IF(ISNUMBER(L441),SUM(L441*20%)+L441,"")</f>
        <v/>
      </c>
      <c r="N441" s="1498" t="s">
        <v>35</v>
      </c>
      <c r="O441" s="1498" t="s">
        <v>41</v>
      </c>
      <c r="P441" s="1498" t="s">
        <v>35</v>
      </c>
    </row>
    <row r="442" spans="1:16" ht="27" customHeight="1">
      <c r="A442" s="1497" t="s">
        <v>28</v>
      </c>
      <c r="B442" s="1498">
        <v>48922</v>
      </c>
      <c r="C442" s="1498" t="s">
        <v>29</v>
      </c>
      <c r="D442" s="1498" t="s">
        <v>31</v>
      </c>
      <c r="E442" s="1499" t="s">
        <v>69</v>
      </c>
      <c r="F442" s="1498" t="s">
        <v>70</v>
      </c>
      <c r="G442" s="1498" t="s">
        <v>64</v>
      </c>
      <c r="H442" s="1499" t="s">
        <v>285</v>
      </c>
      <c r="I442" s="1504">
        <v>45748</v>
      </c>
      <c r="J442" s="1498">
        <v>60</v>
      </c>
      <c r="K442" s="1497" t="s">
        <v>207</v>
      </c>
      <c r="L442" s="653">
        <v>79000</v>
      </c>
      <c r="M442" s="653">
        <f>IF(ISNUMBER(L442),SUM(L442*20%)+L442,"")</f>
        <v>94800</v>
      </c>
      <c r="N442" s="1497" t="s">
        <v>66</v>
      </c>
      <c r="O442" s="1498" t="s">
        <v>36</v>
      </c>
      <c r="P442" s="1498" t="s">
        <v>37</v>
      </c>
    </row>
    <row r="443" spans="1:16" ht="27" customHeight="1">
      <c r="A443" s="1497" t="s">
        <v>28</v>
      </c>
      <c r="B443" s="1498"/>
      <c r="C443" s="1498" t="s">
        <v>60</v>
      </c>
      <c r="D443" s="1498" t="s">
        <v>61</v>
      </c>
      <c r="E443" s="1499" t="s">
        <v>335</v>
      </c>
      <c r="F443" s="1498" t="s">
        <v>336</v>
      </c>
      <c r="G443" s="1498" t="s">
        <v>34</v>
      </c>
      <c r="H443" s="1499" t="s">
        <v>337</v>
      </c>
      <c r="I443" s="1504">
        <v>45748</v>
      </c>
      <c r="J443" s="1498" t="s">
        <v>35</v>
      </c>
      <c r="K443" s="1530" t="s">
        <v>35</v>
      </c>
      <c r="L443" s="653">
        <v>100000</v>
      </c>
      <c r="M443" s="653">
        <f>IF(ISNUMBER(L443),SUM(L443*20%)+L443,"")</f>
        <v>120000</v>
      </c>
      <c r="N443" s="1498" t="s">
        <v>66</v>
      </c>
      <c r="O443" s="1498" t="s">
        <v>36</v>
      </c>
      <c r="P443" s="1498" t="s">
        <v>35</v>
      </c>
    </row>
    <row r="444" spans="1:16" ht="27" customHeight="1">
      <c r="A444" s="1497" t="s">
        <v>28</v>
      </c>
      <c r="B444" s="1498"/>
      <c r="C444" s="1498" t="s">
        <v>29</v>
      </c>
      <c r="D444" s="1498" t="s">
        <v>31</v>
      </c>
      <c r="E444" s="1499" t="s">
        <v>69</v>
      </c>
      <c r="F444" s="1498" t="s">
        <v>70</v>
      </c>
      <c r="G444" s="1498" t="s">
        <v>34</v>
      </c>
      <c r="H444" s="1499" t="s">
        <v>449</v>
      </c>
      <c r="I444" s="1504">
        <v>45748</v>
      </c>
      <c r="J444" s="1498">
        <v>24</v>
      </c>
      <c r="K444" s="1498">
        <v>24</v>
      </c>
      <c r="L444" s="653">
        <v>187400</v>
      </c>
      <c r="M444" s="653">
        <f>IF(ISNUMBER(L444),SUM(L444*20%)+L444,"")</f>
        <v>224880</v>
      </c>
      <c r="N444" s="1498" t="s">
        <v>173</v>
      </c>
      <c r="O444" s="1498" t="s">
        <v>36</v>
      </c>
      <c r="P444" s="1498" t="s">
        <v>37</v>
      </c>
    </row>
    <row r="445" spans="1:16" ht="27" customHeight="1">
      <c r="A445" s="1497" t="s">
        <v>28</v>
      </c>
      <c r="B445" s="1498">
        <v>37487</v>
      </c>
      <c r="C445" s="1498" t="s">
        <v>105</v>
      </c>
      <c r="D445" s="1498" t="s">
        <v>195</v>
      </c>
      <c r="E445" s="1499" t="s">
        <v>180</v>
      </c>
      <c r="F445" s="1498" t="s">
        <v>70</v>
      </c>
      <c r="G445" s="1498" t="s">
        <v>64</v>
      </c>
      <c r="H445" s="1518" t="s">
        <v>474</v>
      </c>
      <c r="I445" s="1504">
        <v>45748</v>
      </c>
      <c r="J445" s="1498">
        <v>41</v>
      </c>
      <c r="K445" s="1498" t="s">
        <v>475</v>
      </c>
      <c r="L445" s="653">
        <v>225000</v>
      </c>
      <c r="M445" s="653">
        <f>IF(ISNUMBER(L445),SUM(L445*20%)+L445,"")</f>
        <v>270000</v>
      </c>
      <c r="N445" s="1498" t="s">
        <v>66</v>
      </c>
      <c r="O445" s="1498" t="s">
        <v>36</v>
      </c>
      <c r="P445" s="1498" t="s">
        <v>43</v>
      </c>
    </row>
    <row r="446" spans="1:16" ht="27" customHeight="1">
      <c r="A446" s="1497" t="s">
        <v>28</v>
      </c>
      <c r="B446" s="1498"/>
      <c r="C446" s="1498" t="s">
        <v>29</v>
      </c>
      <c r="D446" s="1498" t="s">
        <v>31</v>
      </c>
      <c r="E446" s="1499" t="s">
        <v>69</v>
      </c>
      <c r="F446" s="1498" t="s">
        <v>70</v>
      </c>
      <c r="G446" s="1498" t="s">
        <v>34</v>
      </c>
      <c r="H446" s="1499" t="s">
        <v>569</v>
      </c>
      <c r="I446" s="1504">
        <v>45748</v>
      </c>
      <c r="J446" s="1498">
        <v>36</v>
      </c>
      <c r="K446" s="1512" t="s">
        <v>488</v>
      </c>
      <c r="L446" s="653">
        <v>470000</v>
      </c>
      <c r="M446" s="653">
        <f>SUM(L446*20%)+L446</f>
        <v>564000</v>
      </c>
      <c r="N446" s="1498" t="s">
        <v>35</v>
      </c>
      <c r="O446" s="1504" t="s">
        <v>41</v>
      </c>
      <c r="P446" s="1504" t="s">
        <v>35</v>
      </c>
    </row>
    <row r="447" spans="1:16" ht="27" customHeight="1">
      <c r="A447" s="1497" t="s">
        <v>28</v>
      </c>
      <c r="B447" s="1498">
        <v>36492</v>
      </c>
      <c r="C447" s="1498" t="s">
        <v>29</v>
      </c>
      <c r="D447" s="1498" t="s">
        <v>61</v>
      </c>
      <c r="E447" s="1499" t="s">
        <v>335</v>
      </c>
      <c r="F447" s="1498" t="s">
        <v>336</v>
      </c>
      <c r="G447" s="1498" t="s">
        <v>64</v>
      </c>
      <c r="H447" s="1499" t="s">
        <v>883</v>
      </c>
      <c r="I447" s="1504">
        <v>45748</v>
      </c>
      <c r="J447" s="1498">
        <v>42</v>
      </c>
      <c r="K447" s="1498" t="s">
        <v>887</v>
      </c>
      <c r="L447" s="653" t="s">
        <v>885</v>
      </c>
      <c r="M447" s="653" t="e">
        <f>SUM(L447*20%)+L447</f>
        <v>#VALUE!</v>
      </c>
      <c r="N447" s="1502" t="s">
        <v>66</v>
      </c>
      <c r="O447" s="1503" t="s">
        <v>700</v>
      </c>
      <c r="P447" s="1503">
        <v>44748</v>
      </c>
    </row>
    <row r="448" spans="1:16" ht="27" customHeight="1">
      <c r="A448" s="1497" t="s">
        <v>28</v>
      </c>
      <c r="B448" s="1498" t="s">
        <v>35</v>
      </c>
      <c r="C448" s="1498" t="s">
        <v>29</v>
      </c>
      <c r="D448" s="1498" t="s">
        <v>31</v>
      </c>
      <c r="E448" s="1499" t="s">
        <v>75</v>
      </c>
      <c r="F448" s="1498" t="s">
        <v>76</v>
      </c>
      <c r="G448" s="1498" t="s">
        <v>34</v>
      </c>
      <c r="H448" s="1499" t="s">
        <v>1018</v>
      </c>
      <c r="I448" s="1504">
        <v>45748</v>
      </c>
      <c r="J448" s="1498" t="s">
        <v>35</v>
      </c>
      <c r="K448" s="1498" t="s">
        <v>35</v>
      </c>
      <c r="L448" s="653" t="s">
        <v>35</v>
      </c>
      <c r="M448" s="653" t="e">
        <f>SUM(L448*20%)+L448</f>
        <v>#VALUE!</v>
      </c>
      <c r="N448" s="1498" t="s">
        <v>35</v>
      </c>
      <c r="O448" s="1498" t="s">
        <v>36</v>
      </c>
      <c r="P448" s="1498" t="s">
        <v>37</v>
      </c>
    </row>
    <row r="449" spans="1:16" ht="27" customHeight="1">
      <c r="A449" s="1497" t="s">
        <v>28</v>
      </c>
      <c r="B449" s="1498" t="s">
        <v>35</v>
      </c>
      <c r="C449" s="1498" t="s">
        <v>60</v>
      </c>
      <c r="D449" s="1501" t="s">
        <v>61</v>
      </c>
      <c r="E449" s="1499" t="s">
        <v>69</v>
      </c>
      <c r="F449" s="1498" t="s">
        <v>70</v>
      </c>
      <c r="G449" s="1498" t="s">
        <v>34</v>
      </c>
      <c r="H449" s="1499" t="s">
        <v>1019</v>
      </c>
      <c r="I449" s="1504">
        <v>45748</v>
      </c>
      <c r="J449" s="1498" t="s">
        <v>35</v>
      </c>
      <c r="K449" s="1512" t="s">
        <v>35</v>
      </c>
      <c r="L449" s="653" t="s">
        <v>35</v>
      </c>
      <c r="M449" s="653" t="e">
        <f>SUM(L449*20%)+L449</f>
        <v>#VALUE!</v>
      </c>
      <c r="N449" s="1498" t="s">
        <v>35</v>
      </c>
      <c r="O449" s="1498" t="s">
        <v>35</v>
      </c>
      <c r="P449" s="1498" t="s">
        <v>35</v>
      </c>
    </row>
    <row r="450" spans="1:16" ht="27" customHeight="1">
      <c r="A450" s="1497" t="s">
        <v>28</v>
      </c>
      <c r="B450" s="1498" t="s">
        <v>35</v>
      </c>
      <c r="C450" s="1498" t="s">
        <v>29</v>
      </c>
      <c r="D450" s="1498" t="s">
        <v>31</v>
      </c>
      <c r="E450" s="1499" t="s">
        <v>69</v>
      </c>
      <c r="F450" s="1498" t="s">
        <v>70</v>
      </c>
      <c r="G450" s="1498" t="s">
        <v>34</v>
      </c>
      <c r="H450" s="1499" t="s">
        <v>1020</v>
      </c>
      <c r="I450" s="1504">
        <v>45748</v>
      </c>
      <c r="J450" s="1498" t="s">
        <v>35</v>
      </c>
      <c r="K450" s="1512" t="s">
        <v>35</v>
      </c>
      <c r="L450" s="653" t="s">
        <v>35</v>
      </c>
      <c r="M450" s="653" t="e">
        <f>SUM(L450*20%)+L450</f>
        <v>#VALUE!</v>
      </c>
      <c r="N450" s="1498" t="s">
        <v>35</v>
      </c>
      <c r="O450" s="1498" t="s">
        <v>54</v>
      </c>
      <c r="P450" s="1498" t="s">
        <v>37</v>
      </c>
    </row>
    <row r="451" spans="1:16" ht="27" customHeight="1">
      <c r="A451" s="1497" t="s">
        <v>28</v>
      </c>
      <c r="B451" s="1498" t="s">
        <v>35</v>
      </c>
      <c r="C451" s="1498" t="s">
        <v>29</v>
      </c>
      <c r="D451" s="1498" t="s">
        <v>31</v>
      </c>
      <c r="E451" s="1499" t="s">
        <v>75</v>
      </c>
      <c r="F451" s="1498" t="s">
        <v>76</v>
      </c>
      <c r="G451" s="1498" t="s">
        <v>34</v>
      </c>
      <c r="H451" s="1499" t="s">
        <v>331</v>
      </c>
      <c r="I451" s="1504">
        <v>45748</v>
      </c>
      <c r="J451" s="1498" t="s">
        <v>35</v>
      </c>
      <c r="K451" s="1498" t="s">
        <v>35</v>
      </c>
      <c r="L451" s="653" t="s">
        <v>35</v>
      </c>
      <c r="M451" s="653" t="e">
        <f>SUM(L451*20%)+L451</f>
        <v>#VALUE!</v>
      </c>
      <c r="N451" s="1498" t="s">
        <v>35</v>
      </c>
      <c r="O451" s="1504" t="s">
        <v>54</v>
      </c>
      <c r="P451" s="1504" t="s">
        <v>37</v>
      </c>
    </row>
    <row r="452" spans="1:16" ht="27" customHeight="1">
      <c r="A452" s="1509" t="s">
        <v>28</v>
      </c>
      <c r="B452" s="1501" t="s">
        <v>35</v>
      </c>
      <c r="C452" s="1554" t="s">
        <v>29</v>
      </c>
      <c r="D452" s="1498" t="s">
        <v>31</v>
      </c>
      <c r="E452" s="1499" t="s">
        <v>69</v>
      </c>
      <c r="F452" s="1501" t="s">
        <v>70</v>
      </c>
      <c r="G452" s="1498" t="s">
        <v>34</v>
      </c>
      <c r="H452" s="1520" t="s">
        <v>115</v>
      </c>
      <c r="I452" s="1555">
        <v>45748</v>
      </c>
      <c r="J452" s="1556" t="s">
        <v>35</v>
      </c>
      <c r="K452" s="1556" t="s">
        <v>35</v>
      </c>
      <c r="L452" s="653" t="s">
        <v>35</v>
      </c>
      <c r="M452" s="653" t="e">
        <f>SUM(L452*20%)+L452</f>
        <v>#VALUE!</v>
      </c>
      <c r="N452" s="1556" t="s">
        <v>35</v>
      </c>
      <c r="O452" s="1556" t="s">
        <v>36</v>
      </c>
      <c r="P452" s="1556" t="s">
        <v>37</v>
      </c>
    </row>
    <row r="453" spans="1:16" s="1561" customFormat="1" ht="27" customHeight="1">
      <c r="A453" s="1497" t="s">
        <v>28</v>
      </c>
      <c r="B453" s="1498" t="s">
        <v>546</v>
      </c>
      <c r="C453" s="1498" t="s">
        <v>60</v>
      </c>
      <c r="D453" s="1498" t="s">
        <v>61</v>
      </c>
      <c r="E453" s="1527" t="s">
        <v>170</v>
      </c>
      <c r="F453" s="1498" t="s">
        <v>171</v>
      </c>
      <c r="G453" s="1498" t="s">
        <v>64</v>
      </c>
      <c r="H453" s="1499" t="s">
        <v>547</v>
      </c>
      <c r="I453" s="1504">
        <v>45778</v>
      </c>
      <c r="J453" s="1498">
        <v>60</v>
      </c>
      <c r="K453" s="1512" t="s">
        <v>353</v>
      </c>
      <c r="L453" s="653">
        <v>400000</v>
      </c>
      <c r="M453" s="653">
        <f>SUM(L453*20%)+L453</f>
        <v>480000</v>
      </c>
      <c r="N453" s="1498" t="s">
        <v>66</v>
      </c>
      <c r="O453" s="1503" t="s">
        <v>36</v>
      </c>
      <c r="P453" s="1503" t="s">
        <v>37</v>
      </c>
    </row>
    <row r="454" spans="1:16" ht="27" customHeight="1">
      <c r="A454" s="1497" t="s">
        <v>28</v>
      </c>
      <c r="B454" s="1498" t="s">
        <v>35</v>
      </c>
      <c r="C454" s="1498" t="s">
        <v>29</v>
      </c>
      <c r="D454" s="1498" t="s">
        <v>61</v>
      </c>
      <c r="E454" s="1499" t="s">
        <v>69</v>
      </c>
      <c r="F454" s="1498" t="s">
        <v>70</v>
      </c>
      <c r="G454" s="1498" t="s">
        <v>34</v>
      </c>
      <c r="H454" s="1499" t="s">
        <v>360</v>
      </c>
      <c r="I454" s="1504">
        <v>45778</v>
      </c>
      <c r="J454" s="1512" t="s">
        <v>35</v>
      </c>
      <c r="K454" s="1512" t="s">
        <v>35</v>
      </c>
      <c r="L454" s="653" t="s">
        <v>35</v>
      </c>
      <c r="M454" s="653" t="e">
        <f>SUM(L454*20%)+L454</f>
        <v>#VALUE!</v>
      </c>
      <c r="N454" s="1498" t="s">
        <v>35</v>
      </c>
      <c r="O454" s="1498" t="s">
        <v>35</v>
      </c>
      <c r="P454" s="1498" t="s">
        <v>43</v>
      </c>
    </row>
    <row r="455" spans="1:16" ht="27" customHeight="1">
      <c r="A455" s="1497" t="s">
        <v>28</v>
      </c>
      <c r="B455" s="1497" t="s">
        <v>35</v>
      </c>
      <c r="C455" s="1498" t="s">
        <v>29</v>
      </c>
      <c r="D455" s="1498" t="s">
        <v>31</v>
      </c>
      <c r="E455" s="1499" t="s">
        <v>75</v>
      </c>
      <c r="F455" s="1498" t="s">
        <v>76</v>
      </c>
      <c r="G455" s="1498" t="s">
        <v>64</v>
      </c>
      <c r="H455" s="1499" t="s">
        <v>805</v>
      </c>
      <c r="I455" s="1504">
        <v>45798</v>
      </c>
      <c r="J455" s="1498">
        <v>120</v>
      </c>
      <c r="K455" s="1498" t="s">
        <v>807</v>
      </c>
      <c r="L455" s="653">
        <v>6140000</v>
      </c>
      <c r="M455" s="653">
        <f>SUM(L455*20%)+L455</f>
        <v>7368000</v>
      </c>
      <c r="N455" s="1498" t="s">
        <v>66</v>
      </c>
      <c r="O455" s="1504" t="s">
        <v>41</v>
      </c>
      <c r="P455" s="1504" t="s">
        <v>35</v>
      </c>
    </row>
    <row r="456" spans="1:16" ht="27" customHeight="1">
      <c r="A456" s="1497" t="s">
        <v>28</v>
      </c>
      <c r="B456" s="1498" t="s">
        <v>35</v>
      </c>
      <c r="C456" s="1498" t="s">
        <v>29</v>
      </c>
      <c r="D456" s="1498" t="s">
        <v>31</v>
      </c>
      <c r="E456" s="1499" t="s">
        <v>69</v>
      </c>
      <c r="F456" s="1498" t="s">
        <v>70</v>
      </c>
      <c r="G456" s="1498" t="s">
        <v>34</v>
      </c>
      <c r="H456" s="1499" t="s">
        <v>239</v>
      </c>
      <c r="I456" s="1504">
        <v>45801</v>
      </c>
      <c r="J456" s="1498" t="s">
        <v>35</v>
      </c>
      <c r="K456" s="1498" t="s">
        <v>35</v>
      </c>
      <c r="L456" s="653" t="s">
        <v>35</v>
      </c>
      <c r="M456" s="653" t="e">
        <f>SUM(L456*20%)+L456</f>
        <v>#VALUE!</v>
      </c>
      <c r="N456" s="1498" t="s">
        <v>35</v>
      </c>
      <c r="O456" s="1503" t="s">
        <v>35</v>
      </c>
      <c r="P456" s="1503" t="s">
        <v>35</v>
      </c>
    </row>
    <row r="457" spans="1:16" ht="27" customHeight="1">
      <c r="A457" s="1497" t="s">
        <v>28</v>
      </c>
      <c r="B457" s="1498" t="s">
        <v>35</v>
      </c>
      <c r="C457" s="1498" t="s">
        <v>29</v>
      </c>
      <c r="D457" s="1498" t="s">
        <v>31</v>
      </c>
      <c r="E457" s="1499" t="s">
        <v>69</v>
      </c>
      <c r="F457" s="1498" t="s">
        <v>70</v>
      </c>
      <c r="G457" s="1498" t="s">
        <v>34</v>
      </c>
      <c r="H457" s="1499" t="s">
        <v>1021</v>
      </c>
      <c r="I457" s="1504">
        <v>45823</v>
      </c>
      <c r="J457" s="1498" t="s">
        <v>35</v>
      </c>
      <c r="K457" s="1498" t="s">
        <v>35</v>
      </c>
      <c r="L457" s="653" t="s">
        <v>35</v>
      </c>
      <c r="M457" s="653" t="e">
        <f>SUM(L457*20%)+L457</f>
        <v>#VALUE!</v>
      </c>
      <c r="N457" s="1498" t="s">
        <v>35</v>
      </c>
      <c r="O457" s="1498" t="s">
        <v>35</v>
      </c>
      <c r="P457" s="1498" t="s">
        <v>35</v>
      </c>
    </row>
    <row r="458" spans="1:16" ht="27" customHeight="1">
      <c r="A458" s="1497" t="s">
        <v>28</v>
      </c>
      <c r="B458" s="1498"/>
      <c r="C458" s="1498" t="s">
        <v>29</v>
      </c>
      <c r="D458" s="1497" t="s">
        <v>86</v>
      </c>
      <c r="E458" s="1508" t="s">
        <v>119</v>
      </c>
      <c r="F458" s="1497" t="s">
        <v>120</v>
      </c>
      <c r="G458" s="1498" t="s">
        <v>34</v>
      </c>
      <c r="H458" s="1499" t="s">
        <v>121</v>
      </c>
      <c r="I458" s="1504">
        <v>45857</v>
      </c>
      <c r="J458" s="1498"/>
      <c r="K458" s="1498"/>
      <c r="L458" s="653" t="s">
        <v>35</v>
      </c>
      <c r="M458" s="653" t="str">
        <f>IF(ISNUMBER(L458),SUM(L458*20%)+L458,"")</f>
        <v/>
      </c>
      <c r="N458" s="1498" t="s">
        <v>35</v>
      </c>
      <c r="O458" s="1498"/>
      <c r="P458" s="1498"/>
    </row>
    <row r="459" spans="1:16" ht="27" customHeight="1">
      <c r="A459" s="1497" t="s">
        <v>28</v>
      </c>
      <c r="B459" s="1498" t="s">
        <v>35</v>
      </c>
      <c r="C459" s="1498" t="s">
        <v>29</v>
      </c>
      <c r="D459" s="1498" t="s">
        <v>92</v>
      </c>
      <c r="E459" s="1508" t="s">
        <v>123</v>
      </c>
      <c r="F459" s="1498" t="s">
        <v>76</v>
      </c>
      <c r="G459" s="1498" t="s">
        <v>34</v>
      </c>
      <c r="H459" s="1499" t="s">
        <v>124</v>
      </c>
      <c r="I459" s="1504">
        <v>45863</v>
      </c>
      <c r="J459" s="1498">
        <v>36</v>
      </c>
      <c r="K459" s="1497" t="s">
        <v>35</v>
      </c>
      <c r="L459" s="653" t="s">
        <v>35</v>
      </c>
      <c r="M459" s="653" t="str">
        <f>IF(ISNUMBER(L459),SUM(L459*20%)+L459,"")</f>
        <v/>
      </c>
      <c r="N459" s="1498" t="s">
        <v>66</v>
      </c>
      <c r="O459" s="1498" t="s">
        <v>54</v>
      </c>
      <c r="P459" s="1498" t="s">
        <v>37</v>
      </c>
    </row>
    <row r="460" spans="1:16" ht="27" customHeight="1">
      <c r="A460" s="1497" t="s">
        <v>28</v>
      </c>
      <c r="B460" s="1498" t="s">
        <v>1039</v>
      </c>
      <c r="C460" s="1498" t="s">
        <v>60</v>
      </c>
      <c r="D460" s="1501" t="s">
        <v>61</v>
      </c>
      <c r="E460" s="1499" t="s">
        <v>69</v>
      </c>
      <c r="F460" s="1498" t="s">
        <v>70</v>
      </c>
      <c r="G460" s="1498" t="s">
        <v>34</v>
      </c>
      <c r="H460" s="1499" t="s">
        <v>1040</v>
      </c>
      <c r="I460" s="1504">
        <v>45899</v>
      </c>
      <c r="J460" s="1498" t="s">
        <v>35</v>
      </c>
      <c r="K460" s="1498" t="s">
        <v>35</v>
      </c>
      <c r="L460" s="653" t="s">
        <v>35</v>
      </c>
      <c r="M460" s="653" t="e">
        <f>SUM(L460*20%)+L460</f>
        <v>#VALUE!</v>
      </c>
      <c r="N460" s="1498" t="s">
        <v>35</v>
      </c>
      <c r="O460" s="1498" t="s">
        <v>54</v>
      </c>
      <c r="P460" s="1498" t="s">
        <v>37</v>
      </c>
    </row>
    <row r="461" spans="1:16" ht="27" customHeight="1">
      <c r="A461" s="1497" t="s">
        <v>28</v>
      </c>
      <c r="B461" s="1497" t="s">
        <v>758</v>
      </c>
      <c r="C461" s="1498" t="s">
        <v>29</v>
      </c>
      <c r="D461" s="1498" t="s">
        <v>31</v>
      </c>
      <c r="E461" s="1499" t="s">
        <v>69</v>
      </c>
      <c r="F461" s="1498" t="s">
        <v>70</v>
      </c>
      <c r="G461" s="1505" t="s">
        <v>64</v>
      </c>
      <c r="H461" s="1531" t="s">
        <v>759</v>
      </c>
      <c r="I461" s="1504">
        <v>45901</v>
      </c>
      <c r="J461" s="1505">
        <v>120</v>
      </c>
      <c r="K461" s="1505" t="s">
        <v>760</v>
      </c>
      <c r="L461" s="653">
        <v>3395000</v>
      </c>
      <c r="M461" s="653">
        <f>SUM(L461*20%)+L461</f>
        <v>4074000</v>
      </c>
      <c r="N461" s="1497" t="s">
        <v>98</v>
      </c>
      <c r="O461" s="1498" t="s">
        <v>41</v>
      </c>
      <c r="P461" s="1498">
        <v>43917</v>
      </c>
    </row>
    <row r="462" spans="1:16" ht="27" customHeight="1">
      <c r="A462" s="1497" t="s">
        <v>28</v>
      </c>
      <c r="B462" s="1498" t="s">
        <v>35</v>
      </c>
      <c r="C462" s="1498" t="s">
        <v>60</v>
      </c>
      <c r="D462" s="1498" t="s">
        <v>61</v>
      </c>
      <c r="E462" s="1499" t="s">
        <v>69</v>
      </c>
      <c r="F462" s="1498" t="s">
        <v>63</v>
      </c>
      <c r="G462" s="1498" t="s">
        <v>34</v>
      </c>
      <c r="H462" s="1499" t="s">
        <v>458</v>
      </c>
      <c r="I462" s="1504">
        <v>45907</v>
      </c>
      <c r="J462" s="1498" t="s">
        <v>35</v>
      </c>
      <c r="K462" s="1498" t="s">
        <v>35</v>
      </c>
      <c r="L462" s="653" t="s">
        <v>35</v>
      </c>
      <c r="M462" s="653" t="e">
        <f>SUM(L462*20%)+L462</f>
        <v>#VALUE!</v>
      </c>
      <c r="N462" s="1498" t="s">
        <v>35</v>
      </c>
      <c r="O462" s="1504" t="s">
        <v>35</v>
      </c>
      <c r="P462" s="1504" t="s">
        <v>35</v>
      </c>
    </row>
    <row r="463" spans="1:16" ht="27" customHeight="1">
      <c r="A463" s="1497" t="s">
        <v>28</v>
      </c>
      <c r="B463" s="1498" t="s">
        <v>131</v>
      </c>
      <c r="C463" s="1498" t="s">
        <v>29</v>
      </c>
      <c r="D463" s="1498" t="s">
        <v>31</v>
      </c>
      <c r="E463" s="1499" t="s">
        <v>69</v>
      </c>
      <c r="F463" s="1498" t="s">
        <v>70</v>
      </c>
      <c r="G463" s="1498" t="s">
        <v>34</v>
      </c>
      <c r="H463" s="1499" t="s">
        <v>132</v>
      </c>
      <c r="I463" s="1504">
        <v>45931</v>
      </c>
      <c r="J463" s="1498" t="s">
        <v>35</v>
      </c>
      <c r="K463" s="1498" t="s">
        <v>35</v>
      </c>
      <c r="L463" s="653" t="s">
        <v>35</v>
      </c>
      <c r="M463" s="653" t="str">
        <f>IF(ISNUMBER(L463),SUM(L463*20%)+L463,"")</f>
        <v/>
      </c>
      <c r="N463" s="1498" t="s">
        <v>35</v>
      </c>
      <c r="O463" s="1503" t="s">
        <v>36</v>
      </c>
      <c r="P463" s="1503" t="s">
        <v>43</v>
      </c>
    </row>
    <row r="464" spans="1:16" ht="27" customHeight="1">
      <c r="A464" s="1497" t="s">
        <v>28</v>
      </c>
      <c r="B464" s="1498" t="s">
        <v>35</v>
      </c>
      <c r="C464" s="1498" t="s">
        <v>29</v>
      </c>
      <c r="D464" s="1498" t="s">
        <v>31</v>
      </c>
      <c r="E464" s="1499" t="s">
        <v>69</v>
      </c>
      <c r="F464" s="1498" t="s">
        <v>70</v>
      </c>
      <c r="G464" s="1498" t="s">
        <v>34</v>
      </c>
      <c r="H464" s="1499" t="s">
        <v>1030</v>
      </c>
      <c r="I464" s="1504">
        <v>45931</v>
      </c>
      <c r="J464" s="1498" t="s">
        <v>35</v>
      </c>
      <c r="K464" s="1512" t="s">
        <v>35</v>
      </c>
      <c r="L464" s="653" t="s">
        <v>35</v>
      </c>
      <c r="M464" s="653" t="e">
        <f>SUM(L464*20%)+L464</f>
        <v>#VALUE!</v>
      </c>
      <c r="N464" s="1498" t="s">
        <v>35</v>
      </c>
      <c r="O464" s="1498" t="s">
        <v>1031</v>
      </c>
      <c r="P464" s="1498" t="s">
        <v>37</v>
      </c>
    </row>
    <row r="465" spans="1:16" ht="27" customHeight="1">
      <c r="A465" s="1497" t="s">
        <v>28</v>
      </c>
      <c r="B465" s="1498" t="s">
        <v>35</v>
      </c>
      <c r="C465" s="1498" t="s">
        <v>60</v>
      </c>
      <c r="D465" s="1501" t="s">
        <v>61</v>
      </c>
      <c r="E465" s="1499" t="s">
        <v>69</v>
      </c>
      <c r="F465" s="1498" t="s">
        <v>70</v>
      </c>
      <c r="G465" s="1498" t="s">
        <v>34</v>
      </c>
      <c r="H465" s="1499" t="s">
        <v>920</v>
      </c>
      <c r="I465" s="1504">
        <v>45957</v>
      </c>
      <c r="J465" s="1498" t="s">
        <v>35</v>
      </c>
      <c r="K465" s="1498" t="s">
        <v>35</v>
      </c>
      <c r="L465" s="653" t="s">
        <v>35</v>
      </c>
      <c r="M465" s="653" t="e">
        <f>SUM(L465*20%)+L465</f>
        <v>#VALUE!</v>
      </c>
      <c r="N465" s="653" t="s">
        <v>35</v>
      </c>
      <c r="O465" s="1517" t="s">
        <v>36</v>
      </c>
      <c r="P465" s="1498" t="s">
        <v>43</v>
      </c>
    </row>
    <row r="466" spans="1:16" ht="27" customHeight="1">
      <c r="A466" s="1497" t="s">
        <v>28</v>
      </c>
      <c r="B466" s="1498">
        <v>53588</v>
      </c>
      <c r="C466" s="1498" t="s">
        <v>29</v>
      </c>
      <c r="D466" s="1498" t="s">
        <v>31</v>
      </c>
      <c r="E466" s="1499" t="s">
        <v>32</v>
      </c>
      <c r="F466" s="1498" t="s">
        <v>336</v>
      </c>
      <c r="G466" s="1498" t="s">
        <v>64</v>
      </c>
      <c r="H466" s="1499" t="s">
        <v>394</v>
      </c>
      <c r="I466" s="1504">
        <v>45962</v>
      </c>
      <c r="J466" s="1498">
        <v>48</v>
      </c>
      <c r="K466" s="1498" t="s">
        <v>397</v>
      </c>
      <c r="L466" s="653">
        <v>135599</v>
      </c>
      <c r="M466" s="653">
        <f>IF(ISNUMBER(L466),SUM(L466*20%)+L466,"")</f>
        <v>162718.79999999999</v>
      </c>
      <c r="N466" s="1497" t="s">
        <v>66</v>
      </c>
      <c r="O466" s="1498" t="s">
        <v>54</v>
      </c>
      <c r="P466" s="1504" t="s">
        <v>37</v>
      </c>
    </row>
    <row r="467" spans="1:16" ht="27" customHeight="1">
      <c r="A467" s="1497" t="s">
        <v>28</v>
      </c>
      <c r="B467" s="1498">
        <v>34436</v>
      </c>
      <c r="C467" s="1498" t="s">
        <v>29</v>
      </c>
      <c r="D467" s="1498" t="s">
        <v>86</v>
      </c>
      <c r="E467" s="1499" t="s">
        <v>69</v>
      </c>
      <c r="F467" s="1498" t="s">
        <v>70</v>
      </c>
      <c r="G467" s="1498" t="s">
        <v>64</v>
      </c>
      <c r="H467" s="1499" t="s">
        <v>398</v>
      </c>
      <c r="I467" s="1504">
        <v>45966</v>
      </c>
      <c r="J467" s="1498">
        <v>48</v>
      </c>
      <c r="K467" s="1498" t="s">
        <v>191</v>
      </c>
      <c r="L467" s="653">
        <v>136000</v>
      </c>
      <c r="M467" s="653">
        <f>IF(ISNUMBER(L467),SUM(L467*20%)+L467,"")</f>
        <v>163200</v>
      </c>
      <c r="N467" s="1498" t="s">
        <v>66</v>
      </c>
      <c r="O467" s="1498" t="s">
        <v>36</v>
      </c>
      <c r="P467" s="1498" t="s">
        <v>37</v>
      </c>
    </row>
    <row r="468" spans="1:16" ht="27" customHeight="1">
      <c r="A468" s="1497" t="s">
        <v>28</v>
      </c>
      <c r="B468" s="1497"/>
      <c r="C468" s="1498" t="s">
        <v>29</v>
      </c>
      <c r="D468" s="1498" t="s">
        <v>86</v>
      </c>
      <c r="E468" s="1499" t="s">
        <v>133</v>
      </c>
      <c r="F468" s="1498" t="s">
        <v>134</v>
      </c>
      <c r="G468" s="1498" t="s">
        <v>34</v>
      </c>
      <c r="H468" s="1499" t="s">
        <v>135</v>
      </c>
      <c r="I468" s="1504">
        <v>45992</v>
      </c>
      <c r="J468" s="1498"/>
      <c r="K468" s="1512"/>
      <c r="L468" s="653" t="s">
        <v>35</v>
      </c>
      <c r="M468" s="653" t="str">
        <f>IF(ISNUMBER(L468),SUM(L468*20%)+L468,"")</f>
        <v/>
      </c>
      <c r="N468" s="1498" t="s">
        <v>35</v>
      </c>
      <c r="O468" s="1498" t="s">
        <v>41</v>
      </c>
      <c r="P468" s="1498" t="s">
        <v>35</v>
      </c>
    </row>
    <row r="469" spans="1:16" ht="27" customHeight="1">
      <c r="A469" s="1497" t="s">
        <v>28</v>
      </c>
      <c r="B469" s="1498"/>
      <c r="C469" s="1498" t="s">
        <v>29</v>
      </c>
      <c r="D469" s="1498" t="s">
        <v>31</v>
      </c>
      <c r="E469" s="1499" t="s">
        <v>69</v>
      </c>
      <c r="F469" s="1498" t="s">
        <v>70</v>
      </c>
      <c r="G469" s="1498" t="s">
        <v>34</v>
      </c>
      <c r="H469" s="1499" t="s">
        <v>151</v>
      </c>
      <c r="I469" s="1504">
        <v>46000</v>
      </c>
      <c r="J469" s="1498" t="s">
        <v>35</v>
      </c>
      <c r="K469" s="1512" t="s">
        <v>35</v>
      </c>
      <c r="L469" s="653" t="s">
        <v>35</v>
      </c>
      <c r="M469" s="653" t="e">
        <f>SUM(L469*20%)+L469</f>
        <v>#VALUE!</v>
      </c>
      <c r="N469" s="1502" t="s">
        <v>35</v>
      </c>
      <c r="O469" s="1517" t="s">
        <v>41</v>
      </c>
      <c r="P469" s="1502" t="s">
        <v>35</v>
      </c>
    </row>
    <row r="470" spans="1:16" ht="27" customHeight="1">
      <c r="A470" s="1497" t="s">
        <v>28</v>
      </c>
      <c r="B470" s="1498">
        <v>39509</v>
      </c>
      <c r="C470" s="1498" t="s">
        <v>29</v>
      </c>
      <c r="D470" s="1498" t="s">
        <v>31</v>
      </c>
      <c r="E470" s="1499" t="s">
        <v>69</v>
      </c>
      <c r="F470" s="1498" t="s">
        <v>70</v>
      </c>
      <c r="G470" s="1498" t="s">
        <v>34</v>
      </c>
      <c r="H470" s="1499" t="s">
        <v>1033</v>
      </c>
      <c r="I470" s="1504">
        <v>46015</v>
      </c>
      <c r="J470" s="1498" t="s">
        <v>35</v>
      </c>
      <c r="K470" s="1512" t="s">
        <v>35</v>
      </c>
      <c r="L470" s="653" t="s">
        <v>35</v>
      </c>
      <c r="M470" s="653" t="e">
        <f>SUM(L470*20%)+L470</f>
        <v>#VALUE!</v>
      </c>
      <c r="N470" s="1498" t="s">
        <v>35</v>
      </c>
      <c r="O470" s="1503" t="s">
        <v>36</v>
      </c>
      <c r="P470" s="1503" t="s">
        <v>37</v>
      </c>
    </row>
    <row r="471" spans="1:16" ht="27" customHeight="1">
      <c r="A471" s="1497" t="s">
        <v>28</v>
      </c>
      <c r="B471" s="1498" t="s">
        <v>35</v>
      </c>
      <c r="C471" s="1498" t="s">
        <v>29</v>
      </c>
      <c r="D471" s="1498" t="s">
        <v>31</v>
      </c>
      <c r="E471" s="1499" t="s">
        <v>75</v>
      </c>
      <c r="F471" s="1498" t="s">
        <v>378</v>
      </c>
      <c r="G471" s="1498" t="s">
        <v>34</v>
      </c>
      <c r="H471" s="1499" t="s">
        <v>379</v>
      </c>
      <c r="I471" s="1504">
        <v>46022</v>
      </c>
      <c r="J471" s="1498">
        <v>60</v>
      </c>
      <c r="K471" s="1512" t="s">
        <v>387</v>
      </c>
      <c r="L471" s="653">
        <v>130000</v>
      </c>
      <c r="M471" s="653">
        <f>IF(ISNUMBER(L471),SUM(L471*20%)+L471,"")</f>
        <v>156000</v>
      </c>
      <c r="N471" s="1497" t="s">
        <v>173</v>
      </c>
      <c r="O471" s="1503" t="s">
        <v>36</v>
      </c>
      <c r="P471" s="1503" t="s">
        <v>37</v>
      </c>
    </row>
    <row r="472" spans="1:16" ht="27" customHeight="1">
      <c r="A472" s="1497" t="s">
        <v>28</v>
      </c>
      <c r="B472" s="1497" t="s">
        <v>612</v>
      </c>
      <c r="C472" s="1498" t="s">
        <v>29</v>
      </c>
      <c r="D472" s="1498" t="s">
        <v>31</v>
      </c>
      <c r="E472" s="1499" t="s">
        <v>75</v>
      </c>
      <c r="F472" s="1498" t="s">
        <v>76</v>
      </c>
      <c r="G472" s="1505" t="s">
        <v>64</v>
      </c>
      <c r="H472" s="1531" t="s">
        <v>613</v>
      </c>
      <c r="I472" s="1504">
        <v>46023</v>
      </c>
      <c r="J472" s="1505">
        <v>84</v>
      </c>
      <c r="K472" s="1505" t="s">
        <v>614</v>
      </c>
      <c r="L472" s="653">
        <v>700000</v>
      </c>
      <c r="M472" s="653">
        <f>SUM(L472*20%)+L472</f>
        <v>840000</v>
      </c>
      <c r="N472" s="1497" t="s">
        <v>66</v>
      </c>
      <c r="O472" s="1498" t="s">
        <v>36</v>
      </c>
      <c r="P472" s="1498" t="s">
        <v>37</v>
      </c>
    </row>
    <row r="473" spans="1:16" ht="27" customHeight="1">
      <c r="A473" s="1497" t="s">
        <v>28</v>
      </c>
      <c r="B473" s="1498" t="s">
        <v>35</v>
      </c>
      <c r="C473" s="1498" t="s">
        <v>29</v>
      </c>
      <c r="D473" s="1498" t="s">
        <v>86</v>
      </c>
      <c r="E473" s="1499" t="s">
        <v>119</v>
      </c>
      <c r="F473" s="1498" t="s">
        <v>119</v>
      </c>
      <c r="G473" s="1498" t="s">
        <v>34</v>
      </c>
      <c r="H473" s="1508" t="s">
        <v>1037</v>
      </c>
      <c r="I473" s="1524">
        <v>46034</v>
      </c>
      <c r="J473" s="1498" t="s">
        <v>35</v>
      </c>
      <c r="K473" s="1498" t="s">
        <v>35</v>
      </c>
      <c r="L473" s="653" t="s">
        <v>35</v>
      </c>
      <c r="M473" s="653" t="e">
        <f>SUM(L473*20%)+L473</f>
        <v>#VALUE!</v>
      </c>
      <c r="N473" s="1498" t="s">
        <v>35</v>
      </c>
      <c r="O473" s="1498" t="s">
        <v>35</v>
      </c>
      <c r="P473" s="1498" t="s">
        <v>35</v>
      </c>
    </row>
    <row r="474" spans="1:16" ht="27" customHeight="1">
      <c r="A474" s="1497" t="s">
        <v>28</v>
      </c>
      <c r="B474" s="1498" t="s">
        <v>35</v>
      </c>
      <c r="C474" s="1498" t="s">
        <v>29</v>
      </c>
      <c r="D474" s="1498" t="s">
        <v>31</v>
      </c>
      <c r="E474" s="1499" t="s">
        <v>69</v>
      </c>
      <c r="F474" s="1498" t="s">
        <v>70</v>
      </c>
      <c r="G474" s="1498" t="s">
        <v>34</v>
      </c>
      <c r="H474" s="1499" t="s">
        <v>243</v>
      </c>
      <c r="I474" s="1504">
        <v>46082</v>
      </c>
      <c r="J474" s="1498" t="s">
        <v>35</v>
      </c>
      <c r="K474" s="1512" t="s">
        <v>35</v>
      </c>
      <c r="L474" s="653">
        <v>64000</v>
      </c>
      <c r="M474" s="653">
        <f>IF(ISNUMBER(L474),SUM(L474*20%)+L474,"")</f>
        <v>76800</v>
      </c>
      <c r="N474" s="1498" t="s">
        <v>163</v>
      </c>
      <c r="O474" s="1506" t="s">
        <v>54</v>
      </c>
      <c r="P474" s="1498" t="s">
        <v>37</v>
      </c>
    </row>
    <row r="475" spans="1:16" ht="27" customHeight="1">
      <c r="A475" s="1497" t="s">
        <v>28</v>
      </c>
      <c r="B475" s="1498">
        <v>36238</v>
      </c>
      <c r="C475" s="1498" t="s">
        <v>29</v>
      </c>
      <c r="D475" s="1498" t="s">
        <v>31</v>
      </c>
      <c r="E475" s="1499" t="s">
        <v>69</v>
      </c>
      <c r="F475" s="1498" t="s">
        <v>70</v>
      </c>
      <c r="G475" s="1498" t="s">
        <v>64</v>
      </c>
      <c r="H475" s="1499" t="s">
        <v>597</v>
      </c>
      <c r="I475" s="1504">
        <v>46082</v>
      </c>
      <c r="J475" s="1498">
        <v>60</v>
      </c>
      <c r="K475" s="1512" t="s">
        <v>507</v>
      </c>
      <c r="L475" s="653">
        <v>620000</v>
      </c>
      <c r="M475" s="653">
        <f>SUM(L475*20%)+L475</f>
        <v>744000</v>
      </c>
      <c r="N475" s="1498" t="s">
        <v>66</v>
      </c>
      <c r="O475" s="1498" t="s">
        <v>41</v>
      </c>
      <c r="P475" s="1502">
        <v>44691</v>
      </c>
    </row>
    <row r="476" spans="1:16" ht="27" customHeight="1">
      <c r="A476" s="1497" t="s">
        <v>28</v>
      </c>
      <c r="B476" s="1498">
        <v>53588</v>
      </c>
      <c r="C476" s="1498" t="s">
        <v>29</v>
      </c>
      <c r="D476" s="1498" t="s">
        <v>31</v>
      </c>
      <c r="E476" s="1499" t="s">
        <v>69</v>
      </c>
      <c r="F476" s="1498" t="s">
        <v>70</v>
      </c>
      <c r="G476" s="1498" t="s">
        <v>34</v>
      </c>
      <c r="H476" s="1499" t="s">
        <v>476</v>
      </c>
      <c r="I476" s="1504">
        <v>46103</v>
      </c>
      <c r="J476" s="1498">
        <v>37</v>
      </c>
      <c r="K476" s="1512" t="s">
        <v>477</v>
      </c>
      <c r="L476" s="653">
        <v>227399.5</v>
      </c>
      <c r="M476" s="653">
        <f>IF(ISNUMBER(L476),SUM(L476*20%)+L476,"")</f>
        <v>272879.40000000002</v>
      </c>
      <c r="N476" s="1497" t="s">
        <v>4463</v>
      </c>
      <c r="O476" s="1498" t="s">
        <v>54</v>
      </c>
      <c r="P476" s="1498" t="s">
        <v>37</v>
      </c>
    </row>
    <row r="477" spans="1:16" ht="27" customHeight="1">
      <c r="A477" s="1497" t="s">
        <v>28</v>
      </c>
      <c r="B477" s="1498" t="s">
        <v>35</v>
      </c>
      <c r="C477" s="1498" t="s">
        <v>29</v>
      </c>
      <c r="D477" s="1498" t="s">
        <v>31</v>
      </c>
      <c r="E477" s="1499" t="s">
        <v>69</v>
      </c>
      <c r="F477" s="1498" t="s">
        <v>70</v>
      </c>
      <c r="G477" s="1498" t="s">
        <v>34</v>
      </c>
      <c r="H477" s="1499" t="s">
        <v>1041</v>
      </c>
      <c r="I477" s="1504">
        <v>46103</v>
      </c>
      <c r="J477" s="1498" t="s">
        <v>35</v>
      </c>
      <c r="K477" s="1498" t="s">
        <v>35</v>
      </c>
      <c r="L477" s="653" t="s">
        <v>35</v>
      </c>
      <c r="M477" s="653" t="e">
        <f>SUM(L477*20%)+L477</f>
        <v>#VALUE!</v>
      </c>
      <c r="N477" s="1498" t="s">
        <v>35</v>
      </c>
      <c r="O477" s="1498" t="s">
        <v>36</v>
      </c>
      <c r="P477" s="1498" t="s">
        <v>37</v>
      </c>
    </row>
    <row r="478" spans="1:16" ht="27" customHeight="1">
      <c r="A478" s="1497" t="s">
        <v>28</v>
      </c>
      <c r="B478" s="1498" t="s">
        <v>35</v>
      </c>
      <c r="C478" s="1498" t="s">
        <v>29</v>
      </c>
      <c r="D478" s="1498" t="s">
        <v>61</v>
      </c>
      <c r="E478" s="1499" t="s">
        <v>180</v>
      </c>
      <c r="F478" s="1498" t="s">
        <v>349</v>
      </c>
      <c r="G478" s="1498" t="s">
        <v>34</v>
      </c>
      <c r="H478" s="1499" t="s">
        <v>350</v>
      </c>
      <c r="I478" s="1504">
        <v>46112</v>
      </c>
      <c r="J478" s="1498" t="s">
        <v>35</v>
      </c>
      <c r="K478" s="1512" t="s">
        <v>35</v>
      </c>
      <c r="L478" s="653" t="s">
        <v>35</v>
      </c>
      <c r="M478" s="653" t="e">
        <f>SUM(L478*20%)+L478</f>
        <v>#VALUE!</v>
      </c>
      <c r="N478" s="1498" t="s">
        <v>35</v>
      </c>
      <c r="O478" s="1498" t="s">
        <v>35</v>
      </c>
      <c r="P478" s="1498" t="s">
        <v>35</v>
      </c>
    </row>
    <row r="479" spans="1:16" ht="27" customHeight="1">
      <c r="A479" s="1497" t="s">
        <v>28</v>
      </c>
      <c r="B479" s="1498">
        <v>26112</v>
      </c>
      <c r="C479" s="1498" t="s">
        <v>29</v>
      </c>
      <c r="D479" s="1498" t="s">
        <v>195</v>
      </c>
      <c r="E479" s="1499" t="s">
        <v>69</v>
      </c>
      <c r="F479" s="1498" t="s">
        <v>70</v>
      </c>
      <c r="G479" s="1498" t="s">
        <v>64</v>
      </c>
      <c r="H479" s="1499" t="s">
        <v>307</v>
      </c>
      <c r="I479" s="1559">
        <v>46113</v>
      </c>
      <c r="J479" s="1511">
        <v>72</v>
      </c>
      <c r="K479" s="1511" t="s">
        <v>308</v>
      </c>
      <c r="L479" s="653">
        <v>93775.3</v>
      </c>
      <c r="M479" s="653">
        <f>IF(ISNUMBER(L479),SUM(L479*20%)+L479,"")</f>
        <v>112530.36</v>
      </c>
      <c r="N479" s="1502" t="s">
        <v>66</v>
      </c>
      <c r="O479" s="1498" t="s">
        <v>36</v>
      </c>
      <c r="P479" s="1498" t="s">
        <v>37</v>
      </c>
    </row>
    <row r="480" spans="1:16" ht="27" customHeight="1">
      <c r="A480" s="1497" t="s">
        <v>28</v>
      </c>
      <c r="B480" s="1521">
        <v>64684</v>
      </c>
      <c r="C480" s="1498" t="s">
        <v>29</v>
      </c>
      <c r="D480" s="1498" t="s">
        <v>31</v>
      </c>
      <c r="E480" s="1499" t="s">
        <v>69</v>
      </c>
      <c r="F480" s="1498" t="s">
        <v>70</v>
      </c>
      <c r="G480" s="1498" t="s">
        <v>64</v>
      </c>
      <c r="H480" s="1499" t="s">
        <v>370</v>
      </c>
      <c r="I480" s="1504">
        <v>46113</v>
      </c>
      <c r="J480" s="1498">
        <v>48</v>
      </c>
      <c r="K480" s="1512" t="s">
        <v>371</v>
      </c>
      <c r="L480" s="653">
        <v>121712.8</v>
      </c>
      <c r="M480" s="653">
        <f>IF(ISNUMBER(L480),SUM(L480*20%)+L480,"")</f>
        <v>146055.36000000002</v>
      </c>
      <c r="N480" s="1498" t="s">
        <v>66</v>
      </c>
      <c r="O480" s="1498" t="s">
        <v>36</v>
      </c>
      <c r="P480" s="1502" t="s">
        <v>37</v>
      </c>
    </row>
    <row r="481" spans="1:16" ht="27" customHeight="1">
      <c r="A481" s="1497" t="s">
        <v>28</v>
      </c>
      <c r="B481" s="1498" t="s">
        <v>35</v>
      </c>
      <c r="C481" s="1498" t="s">
        <v>29</v>
      </c>
      <c r="D481" s="1498" t="s">
        <v>31</v>
      </c>
      <c r="E481" s="1499" t="s">
        <v>69</v>
      </c>
      <c r="F481" s="1498" t="s">
        <v>70</v>
      </c>
      <c r="G481" s="1498" t="s">
        <v>34</v>
      </c>
      <c r="H481" s="1499" t="s">
        <v>376</v>
      </c>
      <c r="I481" s="1504">
        <v>46113</v>
      </c>
      <c r="J481" s="1498">
        <v>60</v>
      </c>
      <c r="K481" s="1512" t="s">
        <v>143</v>
      </c>
      <c r="L481" s="653">
        <v>126755.93</v>
      </c>
      <c r="M481" s="653">
        <f>IF(ISNUMBER(L481),SUM(L481*20%)+L481,"")</f>
        <v>152107.11599999998</v>
      </c>
      <c r="N481" s="1498" t="s">
        <v>35</v>
      </c>
      <c r="O481" s="1498" t="s">
        <v>36</v>
      </c>
      <c r="P481" s="1498" t="s">
        <v>43</v>
      </c>
    </row>
    <row r="482" spans="1:16" ht="27" customHeight="1">
      <c r="A482" s="1497" t="s">
        <v>28</v>
      </c>
      <c r="B482" s="1498">
        <v>68239</v>
      </c>
      <c r="C482" s="1498" t="s">
        <v>29</v>
      </c>
      <c r="D482" s="1498" t="s">
        <v>31</v>
      </c>
      <c r="E482" s="1499" t="s">
        <v>69</v>
      </c>
      <c r="F482" s="1498" t="s">
        <v>70</v>
      </c>
      <c r="G482" s="1498" t="s">
        <v>64</v>
      </c>
      <c r="H482" s="1499" t="s">
        <v>388</v>
      </c>
      <c r="I482" s="1504">
        <v>46113</v>
      </c>
      <c r="J482" s="1498">
        <v>48</v>
      </c>
      <c r="K482" s="1498" t="s">
        <v>371</v>
      </c>
      <c r="L482" s="653">
        <v>132000</v>
      </c>
      <c r="M482" s="653">
        <f>IF(ISNUMBER(L482),SUM(L482*20%)+L482,"")</f>
        <v>158400</v>
      </c>
      <c r="N482" s="1497" t="s">
        <v>66</v>
      </c>
      <c r="O482" s="1498" t="s">
        <v>389</v>
      </c>
      <c r="P482" s="1498" t="s">
        <v>37</v>
      </c>
    </row>
    <row r="483" spans="1:16" ht="27" customHeight="1">
      <c r="A483" s="1497" t="s">
        <v>28</v>
      </c>
      <c r="B483" s="1498">
        <v>67809</v>
      </c>
      <c r="C483" s="1498" t="s">
        <v>29</v>
      </c>
      <c r="D483" s="1498" t="s">
        <v>82</v>
      </c>
      <c r="E483" s="1499" t="s">
        <v>69</v>
      </c>
      <c r="F483" s="1498" t="s">
        <v>70</v>
      </c>
      <c r="G483" s="1498" t="s">
        <v>64</v>
      </c>
      <c r="H483" s="1499" t="s">
        <v>412</v>
      </c>
      <c r="I483" s="1504">
        <v>46113</v>
      </c>
      <c r="J483" s="1498">
        <v>48</v>
      </c>
      <c r="K483" s="1512" t="s">
        <v>371</v>
      </c>
      <c r="L483" s="653">
        <v>150400</v>
      </c>
      <c r="M483" s="653">
        <f>IF(ISNUMBER(L483),SUM(L483*20%)+L483,"")</f>
        <v>180480</v>
      </c>
      <c r="N483" s="1498" t="s">
        <v>66</v>
      </c>
      <c r="O483" s="1498" t="s">
        <v>36</v>
      </c>
      <c r="P483" s="1498" t="s">
        <v>41</v>
      </c>
    </row>
    <row r="484" spans="1:16" ht="27" customHeight="1">
      <c r="A484" s="1497" t="s">
        <v>28</v>
      </c>
      <c r="B484" s="1498" t="s">
        <v>651</v>
      </c>
      <c r="C484" s="1498" t="s">
        <v>29</v>
      </c>
      <c r="D484" s="1498" t="s">
        <v>31</v>
      </c>
      <c r="E484" s="1499" t="s">
        <v>69</v>
      </c>
      <c r="F484" s="1498" t="s">
        <v>70</v>
      </c>
      <c r="G484" s="1498" t="s">
        <v>64</v>
      </c>
      <c r="H484" s="1499" t="s">
        <v>652</v>
      </c>
      <c r="I484" s="1504">
        <v>46113</v>
      </c>
      <c r="J484" s="1498">
        <v>120</v>
      </c>
      <c r="K484" s="1498" t="s">
        <v>653</v>
      </c>
      <c r="L484" s="653">
        <v>915000</v>
      </c>
      <c r="M484" s="653">
        <f>SUM(L484*20%)+L484</f>
        <v>1098000</v>
      </c>
      <c r="N484" s="1498" t="s">
        <v>66</v>
      </c>
      <c r="O484" s="1504" t="s">
        <v>41</v>
      </c>
      <c r="P484" s="1504" t="s">
        <v>35</v>
      </c>
    </row>
    <row r="485" spans="1:16" ht="27" customHeight="1">
      <c r="A485" s="1497" t="s">
        <v>28</v>
      </c>
      <c r="B485" s="1498" t="s">
        <v>35</v>
      </c>
      <c r="C485" s="1498" t="s">
        <v>60</v>
      </c>
      <c r="D485" s="1501" t="s">
        <v>61</v>
      </c>
      <c r="E485" s="1499" t="s">
        <v>69</v>
      </c>
      <c r="F485" s="1498" t="s">
        <v>70</v>
      </c>
      <c r="G485" s="1498" t="s">
        <v>34</v>
      </c>
      <c r="H485" s="1499" t="s">
        <v>1043</v>
      </c>
      <c r="I485" s="1504">
        <v>46113</v>
      </c>
      <c r="J485" s="1498" t="s">
        <v>35</v>
      </c>
      <c r="K485" s="1512" t="s">
        <v>35</v>
      </c>
      <c r="L485" s="653" t="s">
        <v>35</v>
      </c>
      <c r="M485" s="653" t="e">
        <f>SUM(L485*20%)+L485</f>
        <v>#VALUE!</v>
      </c>
      <c r="N485" s="1498" t="s">
        <v>35</v>
      </c>
      <c r="O485" s="1498" t="s">
        <v>35</v>
      </c>
      <c r="P485" s="1498" t="s">
        <v>35</v>
      </c>
    </row>
    <row r="486" spans="1:16" ht="27" customHeight="1">
      <c r="A486" s="1497" t="s">
        <v>28</v>
      </c>
      <c r="B486" s="1498" t="s">
        <v>35</v>
      </c>
      <c r="C486" s="1498" t="s">
        <v>35</v>
      </c>
      <c r="D486" s="1498" t="s">
        <v>195</v>
      </c>
      <c r="E486" s="1499" t="s">
        <v>69</v>
      </c>
      <c r="F486" s="1498" t="s">
        <v>70</v>
      </c>
      <c r="G486" s="1498" t="s">
        <v>34</v>
      </c>
      <c r="H486" s="1518" t="s">
        <v>474</v>
      </c>
      <c r="I486" s="1504">
        <v>46113</v>
      </c>
      <c r="J486" s="1498" t="s">
        <v>35</v>
      </c>
      <c r="K486" s="1498" t="s">
        <v>35</v>
      </c>
      <c r="L486" s="653" t="s">
        <v>35</v>
      </c>
      <c r="M486" s="653" t="e">
        <f>SUM(L486*20%)+L486</f>
        <v>#VALUE!</v>
      </c>
      <c r="N486" s="1498" t="s">
        <v>35</v>
      </c>
      <c r="O486" s="1498" t="s">
        <v>35</v>
      </c>
      <c r="P486" s="1498" t="s">
        <v>43</v>
      </c>
    </row>
    <row r="487" spans="1:16" ht="27" customHeight="1">
      <c r="A487" s="1497" t="s">
        <v>28</v>
      </c>
      <c r="B487" s="1498" t="s">
        <v>35</v>
      </c>
      <c r="C487" s="1498" t="s">
        <v>29</v>
      </c>
      <c r="D487" s="1498" t="s">
        <v>61</v>
      </c>
      <c r="E487" s="1499" t="s">
        <v>335</v>
      </c>
      <c r="F487" s="1498" t="s">
        <v>336</v>
      </c>
      <c r="G487" s="1498" t="s">
        <v>34</v>
      </c>
      <c r="H487" s="1499" t="s">
        <v>883</v>
      </c>
      <c r="I487" s="1504">
        <v>46113</v>
      </c>
      <c r="J487" s="1498" t="s">
        <v>35</v>
      </c>
      <c r="K487" s="1498" t="s">
        <v>35</v>
      </c>
      <c r="L487" s="653" t="s">
        <v>35</v>
      </c>
      <c r="M487" s="653" t="e">
        <f>SUM(L487*20%)+L487</f>
        <v>#VALUE!</v>
      </c>
      <c r="N487" s="1502" t="s">
        <v>35</v>
      </c>
      <c r="O487" s="1503" t="s">
        <v>35</v>
      </c>
      <c r="P487" s="1503"/>
    </row>
    <row r="488" spans="1:16" ht="27" customHeight="1">
      <c r="A488" s="1497" t="s">
        <v>28</v>
      </c>
      <c r="B488" s="1498" t="s">
        <v>35</v>
      </c>
      <c r="C488" s="1498" t="s">
        <v>29</v>
      </c>
      <c r="D488" s="1498" t="s">
        <v>61</v>
      </c>
      <c r="E488" s="1499" t="s">
        <v>69</v>
      </c>
      <c r="F488" s="1498" t="s">
        <v>70</v>
      </c>
      <c r="G488" s="1498" t="s">
        <v>34</v>
      </c>
      <c r="H488" s="1499" t="s">
        <v>1044</v>
      </c>
      <c r="I488" s="1504">
        <v>46132</v>
      </c>
      <c r="J488" s="1501" t="s">
        <v>35</v>
      </c>
      <c r="K488" s="1501" t="s">
        <v>35</v>
      </c>
      <c r="L488" s="653" t="s">
        <v>35</v>
      </c>
      <c r="M488" s="653" t="e">
        <f>SUM(L488*20%)+L488</f>
        <v>#VALUE!</v>
      </c>
      <c r="N488" s="1498" t="s">
        <v>35</v>
      </c>
      <c r="O488" s="1517" t="s">
        <v>54</v>
      </c>
      <c r="P488" s="1498" t="s">
        <v>37</v>
      </c>
    </row>
    <row r="489" spans="1:16" ht="27" customHeight="1">
      <c r="A489" s="1497" t="s">
        <v>28</v>
      </c>
      <c r="B489" s="1498" t="s">
        <v>35</v>
      </c>
      <c r="C489" s="1498" t="s">
        <v>60</v>
      </c>
      <c r="D489" s="1498" t="s">
        <v>61</v>
      </c>
      <c r="E489" s="1527" t="s">
        <v>170</v>
      </c>
      <c r="F489" s="1498" t="s">
        <v>171</v>
      </c>
      <c r="G489" s="1498" t="s">
        <v>34</v>
      </c>
      <c r="H489" s="1499" t="s">
        <v>547</v>
      </c>
      <c r="I489" s="1504">
        <v>46143</v>
      </c>
      <c r="J489" s="1498" t="s">
        <v>35</v>
      </c>
      <c r="K489" s="1512" t="s">
        <v>35</v>
      </c>
      <c r="L489" s="653" t="s">
        <v>35</v>
      </c>
      <c r="M489" s="653" t="e">
        <f>SUM(L489*20%)+L489</f>
        <v>#VALUE!</v>
      </c>
      <c r="N489" s="1498" t="s">
        <v>35</v>
      </c>
      <c r="O489" s="1503" t="s">
        <v>36</v>
      </c>
      <c r="P489" s="1503" t="s">
        <v>37</v>
      </c>
    </row>
    <row r="490" spans="1:16" ht="27" customHeight="1">
      <c r="A490" s="1497" t="s">
        <v>28</v>
      </c>
      <c r="B490" s="1498" t="s">
        <v>35</v>
      </c>
      <c r="C490" s="1498" t="s">
        <v>29</v>
      </c>
      <c r="D490" s="1498" t="s">
        <v>86</v>
      </c>
      <c r="E490" s="1499" t="s">
        <v>133</v>
      </c>
      <c r="F490" s="1498" t="s">
        <v>134</v>
      </c>
      <c r="G490" s="1498" t="s">
        <v>34</v>
      </c>
      <c r="H490" s="1518" t="s">
        <v>1045</v>
      </c>
      <c r="I490" s="1504">
        <v>46145</v>
      </c>
      <c r="J490" s="1498" t="s">
        <v>35</v>
      </c>
      <c r="K490" s="1498" t="s">
        <v>35</v>
      </c>
      <c r="L490" s="653" t="s">
        <v>35</v>
      </c>
      <c r="M490" s="653" t="e">
        <f>SUM(L490*20%)+L490</f>
        <v>#VALUE!</v>
      </c>
      <c r="N490" s="1498" t="s">
        <v>35</v>
      </c>
      <c r="O490" s="1498" t="s">
        <v>35</v>
      </c>
      <c r="P490" s="1498" t="s">
        <v>35</v>
      </c>
    </row>
    <row r="491" spans="1:16" ht="27" customHeight="1">
      <c r="A491" s="1497" t="s">
        <v>28</v>
      </c>
      <c r="B491" s="1497" t="s">
        <v>35</v>
      </c>
      <c r="C491" s="1498" t="s">
        <v>29</v>
      </c>
      <c r="D491" s="1498" t="s">
        <v>31</v>
      </c>
      <c r="E491" s="1499" t="s">
        <v>75</v>
      </c>
      <c r="F491" s="1498" t="s">
        <v>76</v>
      </c>
      <c r="G491" s="1498" t="s">
        <v>64</v>
      </c>
      <c r="H491" s="1499" t="s">
        <v>805</v>
      </c>
      <c r="I491" s="1504">
        <v>46163</v>
      </c>
      <c r="J491" s="1498">
        <v>120</v>
      </c>
      <c r="K491" s="1498" t="s">
        <v>809</v>
      </c>
      <c r="L491" s="653">
        <v>6140000</v>
      </c>
      <c r="M491" s="653">
        <f>SUM(L491*20%)+L491</f>
        <v>7368000</v>
      </c>
      <c r="N491" s="1498" t="s">
        <v>66</v>
      </c>
      <c r="O491" s="1504" t="s">
        <v>41</v>
      </c>
      <c r="P491" s="1504" t="s">
        <v>35</v>
      </c>
    </row>
    <row r="492" spans="1:16" ht="27" customHeight="1">
      <c r="A492" s="1497" t="s">
        <v>28</v>
      </c>
      <c r="B492" s="1498" t="s">
        <v>35</v>
      </c>
      <c r="C492" s="1498" t="s">
        <v>29</v>
      </c>
      <c r="D492" s="1498" t="s">
        <v>31</v>
      </c>
      <c r="E492" s="1499" t="s">
        <v>69</v>
      </c>
      <c r="F492" s="1498" t="s">
        <v>70</v>
      </c>
      <c r="G492" s="1498" t="s">
        <v>64</v>
      </c>
      <c r="H492" s="1499" t="s">
        <v>686</v>
      </c>
      <c r="I492" s="1504">
        <v>46174</v>
      </c>
      <c r="J492" s="1498">
        <v>84</v>
      </c>
      <c r="K492" s="1512" t="s">
        <v>573</v>
      </c>
      <c r="L492" s="653">
        <v>1463000</v>
      </c>
      <c r="M492" s="653">
        <f>SUM(L492*20%)+L492</f>
        <v>1755600</v>
      </c>
      <c r="N492" s="1498" t="s">
        <v>66</v>
      </c>
      <c r="O492" s="1498" t="s">
        <v>54</v>
      </c>
      <c r="P492" s="1498" t="s">
        <v>37</v>
      </c>
    </row>
    <row r="493" spans="1:16" ht="27" customHeight="1">
      <c r="A493" s="1497" t="s">
        <v>28</v>
      </c>
      <c r="B493" s="1497" t="s">
        <v>35</v>
      </c>
      <c r="C493" s="1501" t="s">
        <v>29</v>
      </c>
      <c r="D493" s="1498" t="s">
        <v>86</v>
      </c>
      <c r="E493" s="1499" t="s">
        <v>133</v>
      </c>
      <c r="F493" s="1497" t="s">
        <v>134</v>
      </c>
      <c r="G493" s="1497" t="s">
        <v>34</v>
      </c>
      <c r="H493" s="1508" t="s">
        <v>893</v>
      </c>
      <c r="I493" s="1524">
        <v>46235</v>
      </c>
      <c r="J493" s="1497" t="s">
        <v>35</v>
      </c>
      <c r="K493" s="1497" t="s">
        <v>35</v>
      </c>
      <c r="L493" s="653" t="s">
        <v>35</v>
      </c>
      <c r="M493" s="653" t="e">
        <f>SUM(L493*20%)+L493</f>
        <v>#VALUE!</v>
      </c>
      <c r="N493" s="1497" t="s">
        <v>35</v>
      </c>
      <c r="O493" s="1498" t="s">
        <v>35</v>
      </c>
      <c r="P493" s="1498" t="s">
        <v>37</v>
      </c>
    </row>
    <row r="494" spans="1:16" ht="27" customHeight="1">
      <c r="A494" s="1497" t="s">
        <v>28</v>
      </c>
      <c r="B494" s="1498" t="s">
        <v>35</v>
      </c>
      <c r="C494" s="1498" t="s">
        <v>29</v>
      </c>
      <c r="D494" s="1498" t="s">
        <v>86</v>
      </c>
      <c r="E494" s="1499" t="s">
        <v>69</v>
      </c>
      <c r="F494" s="1498" t="s">
        <v>70</v>
      </c>
      <c r="G494" s="1498" t="s">
        <v>34</v>
      </c>
      <c r="H494" s="1499" t="s">
        <v>328</v>
      </c>
      <c r="I494" s="1504">
        <v>46258</v>
      </c>
      <c r="J494" s="1498" t="s">
        <v>35</v>
      </c>
      <c r="K494" s="1498" t="s">
        <v>35</v>
      </c>
      <c r="L494" s="653" t="s">
        <v>35</v>
      </c>
      <c r="M494" s="653" t="e">
        <f>SUM(L494*20%)+L494</f>
        <v>#VALUE!</v>
      </c>
      <c r="N494" s="1498" t="s">
        <v>35</v>
      </c>
      <c r="O494" s="1498" t="s">
        <v>35</v>
      </c>
      <c r="P494" s="1498" t="s">
        <v>35</v>
      </c>
    </row>
    <row r="495" spans="1:16" ht="27" customHeight="1">
      <c r="A495" s="1497" t="s">
        <v>28</v>
      </c>
      <c r="B495" s="1498"/>
      <c r="C495" s="1498" t="s">
        <v>92</v>
      </c>
      <c r="D495" s="1498" t="s">
        <v>92</v>
      </c>
      <c r="E495" s="1499" t="s">
        <v>69</v>
      </c>
      <c r="F495" s="1498" t="s">
        <v>70</v>
      </c>
      <c r="G495" s="1498" t="s">
        <v>34</v>
      </c>
      <c r="H495" s="1520" t="s">
        <v>169</v>
      </c>
      <c r="I495" s="1504">
        <v>46296</v>
      </c>
      <c r="J495" s="1498"/>
      <c r="K495" s="1512"/>
      <c r="L495" s="653">
        <v>50000</v>
      </c>
      <c r="M495" s="653">
        <f>IF(ISNUMBER(L495),SUM(L495*20%)+L495,"")</f>
        <v>60000</v>
      </c>
      <c r="N495" s="1498" t="s">
        <v>35</v>
      </c>
      <c r="O495" s="1503" t="s">
        <v>36</v>
      </c>
      <c r="P495" s="1503" t="s">
        <v>37</v>
      </c>
    </row>
    <row r="496" spans="1:16" ht="27" customHeight="1">
      <c r="A496" s="1497" t="s">
        <v>28</v>
      </c>
      <c r="B496" s="1498" t="s">
        <v>601</v>
      </c>
      <c r="C496" s="1498" t="s">
        <v>29</v>
      </c>
      <c r="D496" s="1498" t="s">
        <v>31</v>
      </c>
      <c r="E496" s="1499" t="s">
        <v>75</v>
      </c>
      <c r="F496" s="1498" t="s">
        <v>171</v>
      </c>
      <c r="G496" s="1498" t="s">
        <v>64</v>
      </c>
      <c r="H496" s="1499" t="s">
        <v>602</v>
      </c>
      <c r="I496" s="1504">
        <v>46296</v>
      </c>
      <c r="J496" s="1498">
        <v>84</v>
      </c>
      <c r="K496" s="1530" t="s">
        <v>560</v>
      </c>
      <c r="L496" s="653">
        <v>650000</v>
      </c>
      <c r="M496" s="653">
        <f>SUM(L496*20%)+L496</f>
        <v>780000</v>
      </c>
      <c r="N496" s="1498" t="s">
        <v>66</v>
      </c>
      <c r="O496" s="1517" t="s">
        <v>36</v>
      </c>
      <c r="P496" s="1498" t="s">
        <v>43</v>
      </c>
    </row>
    <row r="497" spans="1:16" ht="27" customHeight="1">
      <c r="A497" s="1497" t="s">
        <v>28</v>
      </c>
      <c r="B497" s="1498"/>
      <c r="C497" s="1498" t="s">
        <v>29</v>
      </c>
      <c r="D497" s="1498" t="s">
        <v>31</v>
      </c>
      <c r="E497" s="1499" t="s">
        <v>32</v>
      </c>
      <c r="F497" s="1498" t="s">
        <v>336</v>
      </c>
      <c r="G497" s="1498" t="s">
        <v>34</v>
      </c>
      <c r="H497" s="1499" t="s">
        <v>394</v>
      </c>
      <c r="I497" s="1504">
        <v>46327</v>
      </c>
      <c r="J497" s="1498">
        <v>48</v>
      </c>
      <c r="K497" s="1538" t="s">
        <v>191</v>
      </c>
      <c r="L497" s="653">
        <v>135599</v>
      </c>
      <c r="M497" s="653">
        <f>IF(ISNUMBER(L497),SUM(L497*20%)+L497,"")</f>
        <v>162718.79999999999</v>
      </c>
      <c r="N497" s="1497" t="s">
        <v>35</v>
      </c>
      <c r="O497" s="1498" t="s">
        <v>54</v>
      </c>
      <c r="P497" s="1504" t="s">
        <v>37</v>
      </c>
    </row>
    <row r="498" spans="1:16" ht="27" customHeight="1">
      <c r="A498" s="1497" t="s">
        <v>28</v>
      </c>
      <c r="B498" s="1498">
        <v>36463</v>
      </c>
      <c r="C498" s="1498" t="s">
        <v>29</v>
      </c>
      <c r="D498" s="1498" t="s">
        <v>86</v>
      </c>
      <c r="E498" s="1499" t="s">
        <v>133</v>
      </c>
      <c r="F498" s="1498" t="s">
        <v>134</v>
      </c>
      <c r="G498" s="1498" t="s">
        <v>34</v>
      </c>
      <c r="H498" s="1499" t="s">
        <v>826</v>
      </c>
      <c r="I498" s="1504">
        <v>46327</v>
      </c>
      <c r="J498" s="1498" t="s">
        <v>35</v>
      </c>
      <c r="K498" s="1512" t="s">
        <v>35</v>
      </c>
      <c r="L498" s="653" t="s">
        <v>35</v>
      </c>
      <c r="M498" s="653" t="e">
        <f>SUM(L498*20%)+L498</f>
        <v>#VALUE!</v>
      </c>
      <c r="N498" s="1498" t="s">
        <v>35</v>
      </c>
      <c r="O498" s="1498" t="s">
        <v>41</v>
      </c>
      <c r="P498" s="1502">
        <v>44711</v>
      </c>
    </row>
    <row r="499" spans="1:16" ht="27" customHeight="1">
      <c r="A499" s="1497" t="s">
        <v>28</v>
      </c>
      <c r="B499" s="1498" t="s">
        <v>35</v>
      </c>
      <c r="C499" s="1498" t="s">
        <v>29</v>
      </c>
      <c r="D499" s="1498" t="s">
        <v>86</v>
      </c>
      <c r="E499" s="1499" t="s">
        <v>69</v>
      </c>
      <c r="F499" s="1498" t="s">
        <v>70</v>
      </c>
      <c r="G499" s="1498" t="s">
        <v>34</v>
      </c>
      <c r="H499" s="1499" t="s">
        <v>1046</v>
      </c>
      <c r="I499" s="1504">
        <v>46331</v>
      </c>
      <c r="J499" s="1498" t="s">
        <v>35</v>
      </c>
      <c r="K499" s="1498" t="s">
        <v>35</v>
      </c>
      <c r="L499" s="653" t="s">
        <v>35</v>
      </c>
      <c r="M499" s="653" t="e">
        <f>SUM(L499*20%)+L499</f>
        <v>#VALUE!</v>
      </c>
      <c r="N499" s="1498" t="s">
        <v>35</v>
      </c>
      <c r="O499" s="1498" t="s">
        <v>35</v>
      </c>
      <c r="P499" s="1498" t="s">
        <v>37</v>
      </c>
    </row>
    <row r="500" spans="1:16" ht="27" customHeight="1">
      <c r="A500" s="1497" t="s">
        <v>28</v>
      </c>
      <c r="B500" s="1498"/>
      <c r="C500" s="1498" t="s">
        <v>29</v>
      </c>
      <c r="D500" s="1498" t="s">
        <v>31</v>
      </c>
      <c r="E500" s="1499" t="s">
        <v>32</v>
      </c>
      <c r="F500" s="1498" t="s">
        <v>45</v>
      </c>
      <c r="G500" s="1498" t="s">
        <v>34</v>
      </c>
      <c r="H500" s="1499" t="s">
        <v>137</v>
      </c>
      <c r="I500" s="1504">
        <v>46335</v>
      </c>
      <c r="J500" s="1498"/>
      <c r="K500" s="1512"/>
      <c r="L500" s="653" t="s">
        <v>35</v>
      </c>
      <c r="M500" s="653" t="str">
        <f>IF(ISNUMBER(L500),SUM(L500*20%)+L500,"")</f>
        <v/>
      </c>
      <c r="N500" s="1497" t="s">
        <v>35</v>
      </c>
      <c r="O500" s="1498" t="s">
        <v>41</v>
      </c>
      <c r="P500" s="1502" t="s">
        <v>35</v>
      </c>
    </row>
    <row r="501" spans="1:16" ht="27" customHeight="1">
      <c r="A501" s="1497" t="s">
        <v>28</v>
      </c>
      <c r="B501" s="1498" t="s">
        <v>585</v>
      </c>
      <c r="C501" s="1498" t="s">
        <v>29</v>
      </c>
      <c r="D501" s="1498" t="s">
        <v>31</v>
      </c>
      <c r="E501" s="1499" t="s">
        <v>69</v>
      </c>
      <c r="F501" s="1498" t="s">
        <v>70</v>
      </c>
      <c r="G501" s="1498" t="s">
        <v>64</v>
      </c>
      <c r="H501" s="1499" t="s">
        <v>586</v>
      </c>
      <c r="I501" s="1557">
        <v>46337</v>
      </c>
      <c r="J501" s="1498">
        <v>120</v>
      </c>
      <c r="K501" s="1512" t="s">
        <v>587</v>
      </c>
      <c r="L501" s="653">
        <v>595883.89</v>
      </c>
      <c r="M501" s="653">
        <f>SUM(L501*20%)+L501</f>
        <v>715060.66800000006</v>
      </c>
      <c r="N501" s="1498" t="s">
        <v>66</v>
      </c>
      <c r="O501" s="1504" t="s">
        <v>41</v>
      </c>
      <c r="P501" s="1504" t="s">
        <v>35</v>
      </c>
    </row>
    <row r="502" spans="1:16" ht="27" customHeight="1">
      <c r="A502" s="1497" t="s">
        <v>28</v>
      </c>
      <c r="B502" s="1497" t="s">
        <v>612</v>
      </c>
      <c r="C502" s="1498" t="s">
        <v>29</v>
      </c>
      <c r="D502" s="1498" t="s">
        <v>31</v>
      </c>
      <c r="E502" s="1499" t="s">
        <v>75</v>
      </c>
      <c r="F502" s="1498" t="s">
        <v>76</v>
      </c>
      <c r="G502" s="1505" t="s">
        <v>64</v>
      </c>
      <c r="H502" s="1531" t="s">
        <v>613</v>
      </c>
      <c r="I502" s="1504">
        <v>46388</v>
      </c>
      <c r="J502" s="1505">
        <v>84</v>
      </c>
      <c r="K502" s="1505" t="s">
        <v>616</v>
      </c>
      <c r="L502" s="653">
        <v>700000</v>
      </c>
      <c r="M502" s="653">
        <f>SUM(L502*20%)+L502</f>
        <v>840000</v>
      </c>
      <c r="N502" s="1497" t="s">
        <v>66</v>
      </c>
      <c r="O502" s="1498" t="s">
        <v>36</v>
      </c>
      <c r="P502" s="1498" t="s">
        <v>37</v>
      </c>
    </row>
    <row r="503" spans="1:16" ht="27" customHeight="1">
      <c r="A503" s="1497" t="s">
        <v>28</v>
      </c>
      <c r="B503" s="1498" t="s">
        <v>35</v>
      </c>
      <c r="C503" s="1498" t="s">
        <v>29</v>
      </c>
      <c r="D503" s="1498" t="s">
        <v>152</v>
      </c>
      <c r="E503" s="1499" t="s">
        <v>1055</v>
      </c>
      <c r="F503" s="1498" t="s">
        <v>70</v>
      </c>
      <c r="G503" s="1498" t="s">
        <v>34</v>
      </c>
      <c r="H503" s="1499" t="s">
        <v>1056</v>
      </c>
      <c r="I503" s="1504">
        <v>46447</v>
      </c>
      <c r="J503" s="1498" t="s">
        <v>35</v>
      </c>
      <c r="K503" s="1512" t="s">
        <v>35</v>
      </c>
      <c r="L503" s="653" t="s">
        <v>35</v>
      </c>
      <c r="M503" s="653" t="e">
        <f>SUM(L503*20%)+L503</f>
        <v>#VALUE!</v>
      </c>
      <c r="N503" s="1498" t="s">
        <v>35</v>
      </c>
      <c r="O503" s="1506" t="s">
        <v>35</v>
      </c>
      <c r="P503" s="1498" t="s">
        <v>35</v>
      </c>
    </row>
    <row r="504" spans="1:16" ht="27" customHeight="1">
      <c r="A504" s="1497" t="s">
        <v>28</v>
      </c>
      <c r="B504" s="1497" t="s">
        <v>439</v>
      </c>
      <c r="C504" s="1498" t="s">
        <v>29</v>
      </c>
      <c r="D504" s="1498" t="s">
        <v>31</v>
      </c>
      <c r="E504" s="1499" t="s">
        <v>69</v>
      </c>
      <c r="F504" s="1498" t="s">
        <v>70</v>
      </c>
      <c r="G504" s="1498" t="s">
        <v>64</v>
      </c>
      <c r="H504" s="1499" t="s">
        <v>440</v>
      </c>
      <c r="I504" s="1504">
        <v>46454</v>
      </c>
      <c r="J504" s="1498">
        <v>96</v>
      </c>
      <c r="K504" s="1512" t="s">
        <v>442</v>
      </c>
      <c r="L504" s="653">
        <v>177098</v>
      </c>
      <c r="M504" s="653">
        <f>IF(ISNUMBER(L504),SUM(L504*20%)+L504,"")</f>
        <v>212517.6</v>
      </c>
      <c r="N504" s="1498" t="s">
        <v>66</v>
      </c>
      <c r="O504" s="1498" t="s">
        <v>36</v>
      </c>
      <c r="P504" s="1498" t="s">
        <v>37</v>
      </c>
    </row>
    <row r="505" spans="1:16" ht="27" customHeight="1">
      <c r="A505" s="1497" t="s">
        <v>28</v>
      </c>
      <c r="B505" s="1498">
        <v>60471</v>
      </c>
      <c r="C505" s="1498" t="s">
        <v>29</v>
      </c>
      <c r="D505" s="1498" t="s">
        <v>92</v>
      </c>
      <c r="E505" s="1499" t="s">
        <v>69</v>
      </c>
      <c r="F505" s="1498" t="s">
        <v>70</v>
      </c>
      <c r="G505" s="1498" t="s">
        <v>64</v>
      </c>
      <c r="H505" s="1499" t="s">
        <v>684</v>
      </c>
      <c r="I505" s="1504">
        <v>46478</v>
      </c>
      <c r="J505" s="1498">
        <v>84</v>
      </c>
      <c r="K505" s="1498" t="s">
        <v>685</v>
      </c>
      <c r="L505" s="653">
        <v>1414000</v>
      </c>
      <c r="M505" s="653">
        <f>SUM(L505*20%)+L505</f>
        <v>1696800</v>
      </c>
      <c r="N505" s="1498" t="s">
        <v>66</v>
      </c>
      <c r="O505" s="1498" t="s">
        <v>41</v>
      </c>
      <c r="P505" s="1502">
        <v>44326</v>
      </c>
    </row>
    <row r="506" spans="1:16" ht="27" customHeight="1">
      <c r="A506" s="1497" t="s">
        <v>28</v>
      </c>
      <c r="B506" s="1498" t="s">
        <v>35</v>
      </c>
      <c r="C506" s="1498" t="s">
        <v>29</v>
      </c>
      <c r="D506" s="1498" t="s">
        <v>82</v>
      </c>
      <c r="E506" s="1499" t="s">
        <v>69</v>
      </c>
      <c r="F506" s="1498" t="s">
        <v>70</v>
      </c>
      <c r="G506" s="1498" t="s">
        <v>64</v>
      </c>
      <c r="H506" s="1499" t="s">
        <v>559</v>
      </c>
      <c r="I506" s="1504">
        <v>46508</v>
      </c>
      <c r="J506" s="1498">
        <v>84</v>
      </c>
      <c r="K506" s="1498" t="s">
        <v>560</v>
      </c>
      <c r="L506" s="653">
        <v>410331</v>
      </c>
      <c r="M506" s="653">
        <f>SUM(L506*20%)+L506</f>
        <v>492397.2</v>
      </c>
      <c r="N506" s="1497" t="s">
        <v>66</v>
      </c>
      <c r="O506" s="1498" t="s">
        <v>41</v>
      </c>
      <c r="P506" s="1502">
        <v>44326</v>
      </c>
    </row>
    <row r="507" spans="1:16" ht="27" customHeight="1">
      <c r="A507" s="1497" t="s">
        <v>28</v>
      </c>
      <c r="B507" s="1498" t="s">
        <v>35</v>
      </c>
      <c r="C507" s="1498" t="s">
        <v>29</v>
      </c>
      <c r="D507" s="1498" t="s">
        <v>31</v>
      </c>
      <c r="E507" s="1499" t="s">
        <v>75</v>
      </c>
      <c r="F507" s="1498" t="s">
        <v>76</v>
      </c>
      <c r="G507" s="1498" t="s">
        <v>34</v>
      </c>
      <c r="H507" s="1499" t="s">
        <v>805</v>
      </c>
      <c r="I507" s="1504">
        <v>46528</v>
      </c>
      <c r="J507" s="1498" t="s">
        <v>35</v>
      </c>
      <c r="K507" s="1498" t="s">
        <v>35</v>
      </c>
      <c r="L507" s="653">
        <v>6140000</v>
      </c>
      <c r="M507" s="653">
        <f>SUM(L507*20%)+L507</f>
        <v>7368000</v>
      </c>
      <c r="N507" s="1502" t="s">
        <v>35</v>
      </c>
      <c r="O507" s="1504" t="s">
        <v>41</v>
      </c>
      <c r="P507" s="1504" t="s">
        <v>35</v>
      </c>
    </row>
    <row r="508" spans="1:16" ht="27" customHeight="1">
      <c r="A508" s="1497" t="s">
        <v>28</v>
      </c>
      <c r="B508" s="1498" t="s">
        <v>35</v>
      </c>
      <c r="C508" s="1498" t="s">
        <v>29</v>
      </c>
      <c r="D508" s="1498" t="s">
        <v>31</v>
      </c>
      <c r="E508" s="1499" t="s">
        <v>69</v>
      </c>
      <c r="F508" s="1498" t="s">
        <v>70</v>
      </c>
      <c r="G508" s="1498" t="s">
        <v>34</v>
      </c>
      <c r="H508" s="1499" t="s">
        <v>139</v>
      </c>
      <c r="I508" s="1504">
        <v>46631</v>
      </c>
      <c r="J508" s="1498" t="s">
        <v>35</v>
      </c>
      <c r="K508" s="1512" t="s">
        <v>35</v>
      </c>
      <c r="L508" s="653" t="s">
        <v>35</v>
      </c>
      <c r="M508" s="653" t="str">
        <f>IF(ISNUMBER(L508),SUM(L508*20%)+L508,"")</f>
        <v/>
      </c>
      <c r="N508" s="1497" t="s">
        <v>98</v>
      </c>
      <c r="O508" s="1498" t="s">
        <v>35</v>
      </c>
      <c r="P508" s="1498" t="s">
        <v>35</v>
      </c>
    </row>
    <row r="509" spans="1:16" ht="27" customHeight="1">
      <c r="A509" s="1497" t="s">
        <v>28</v>
      </c>
      <c r="B509" s="1498" t="s">
        <v>758</v>
      </c>
      <c r="C509" s="1498" t="s">
        <v>29</v>
      </c>
      <c r="D509" s="1498" t="s">
        <v>31</v>
      </c>
      <c r="E509" s="1499" t="s">
        <v>69</v>
      </c>
      <c r="F509" s="1498" t="s">
        <v>70</v>
      </c>
      <c r="G509" s="1498" t="s">
        <v>64</v>
      </c>
      <c r="H509" s="1499" t="s">
        <v>759</v>
      </c>
      <c r="I509" s="1504">
        <v>46631</v>
      </c>
      <c r="J509" s="1498">
        <v>120</v>
      </c>
      <c r="K509" s="1512" t="s">
        <v>762</v>
      </c>
      <c r="L509" s="653">
        <v>3395000</v>
      </c>
      <c r="M509" s="653">
        <f>SUM(L509*20%)+L509</f>
        <v>4074000</v>
      </c>
      <c r="N509" s="1498" t="s">
        <v>98</v>
      </c>
      <c r="O509" s="1503" t="s">
        <v>41</v>
      </c>
      <c r="P509" s="1503">
        <v>43917</v>
      </c>
    </row>
    <row r="510" spans="1:16" ht="27" customHeight="1">
      <c r="A510" s="1497" t="s">
        <v>28</v>
      </c>
      <c r="B510" s="1498" t="s">
        <v>35</v>
      </c>
      <c r="C510" s="1498" t="s">
        <v>29</v>
      </c>
      <c r="D510" s="1498" t="s">
        <v>31</v>
      </c>
      <c r="E510" s="1499" t="s">
        <v>69</v>
      </c>
      <c r="F510" s="1498" t="s">
        <v>70</v>
      </c>
      <c r="G510" s="1498" t="s">
        <v>34</v>
      </c>
      <c r="H510" s="1499" t="s">
        <v>597</v>
      </c>
      <c r="I510" s="1504">
        <v>46813</v>
      </c>
      <c r="J510" s="1498" t="s">
        <v>35</v>
      </c>
      <c r="K510" s="1512" t="s">
        <v>35</v>
      </c>
      <c r="L510" s="653" t="s">
        <v>35</v>
      </c>
      <c r="M510" s="653" t="e">
        <f>SUM(L510*20%)+L510</f>
        <v>#VALUE!</v>
      </c>
      <c r="N510" s="1498" t="s">
        <v>35</v>
      </c>
      <c r="O510" s="1498" t="s">
        <v>35</v>
      </c>
      <c r="P510" s="1502" t="s">
        <v>35</v>
      </c>
    </row>
    <row r="511" spans="1:16" ht="27" customHeight="1">
      <c r="A511" s="1497" t="s">
        <v>28</v>
      </c>
      <c r="B511" s="1498" t="s">
        <v>651</v>
      </c>
      <c r="C511" s="1498" t="s">
        <v>29</v>
      </c>
      <c r="D511" s="1498" t="s">
        <v>31</v>
      </c>
      <c r="E511" s="1499" t="s">
        <v>69</v>
      </c>
      <c r="F511" s="1498" t="s">
        <v>70</v>
      </c>
      <c r="G511" s="1498" t="s">
        <v>64</v>
      </c>
      <c r="H511" s="1499" t="s">
        <v>652</v>
      </c>
      <c r="I511" s="1504">
        <v>46844</v>
      </c>
      <c r="J511" s="1498">
        <v>120</v>
      </c>
      <c r="K511" s="1498" t="s">
        <v>655</v>
      </c>
      <c r="L511" s="653">
        <v>915000</v>
      </c>
      <c r="M511" s="653">
        <f>SUM(L511*20%)+L511</f>
        <v>1098000</v>
      </c>
      <c r="N511" s="1498" t="s">
        <v>66</v>
      </c>
      <c r="O511" s="1504" t="s">
        <v>41</v>
      </c>
      <c r="P511" s="1504" t="s">
        <v>35</v>
      </c>
    </row>
    <row r="512" spans="1:16" ht="27" customHeight="1">
      <c r="A512" s="1497" t="s">
        <v>28</v>
      </c>
      <c r="B512" s="1498">
        <v>60471</v>
      </c>
      <c r="C512" s="1498" t="s">
        <v>29</v>
      </c>
      <c r="D512" s="1498" t="s">
        <v>92</v>
      </c>
      <c r="E512" s="1499" t="s">
        <v>69</v>
      </c>
      <c r="F512" s="1498" t="s">
        <v>70</v>
      </c>
      <c r="G512" s="1498" t="s">
        <v>64</v>
      </c>
      <c r="H512" s="1499" t="s">
        <v>702</v>
      </c>
      <c r="I512" s="1504">
        <v>46844</v>
      </c>
      <c r="J512" s="1498">
        <v>84</v>
      </c>
      <c r="K512" s="1530" t="s">
        <v>560</v>
      </c>
      <c r="L512" s="653">
        <v>1815729</v>
      </c>
      <c r="M512" s="653">
        <f>SUM(L512*20%)+L512</f>
        <v>2178874.7999999998</v>
      </c>
      <c r="N512" s="1498" t="s">
        <v>53</v>
      </c>
      <c r="O512" s="1504" t="s">
        <v>703</v>
      </c>
      <c r="P512" s="1504" t="s">
        <v>704</v>
      </c>
    </row>
    <row r="513" spans="1:16" ht="27" customHeight="1">
      <c r="A513" s="1497" t="s">
        <v>28</v>
      </c>
      <c r="B513" s="1498" t="s">
        <v>35</v>
      </c>
      <c r="C513" s="1498" t="s">
        <v>29</v>
      </c>
      <c r="D513" s="1498" t="s">
        <v>195</v>
      </c>
      <c r="E513" s="1499" t="s">
        <v>69</v>
      </c>
      <c r="F513" s="1498" t="s">
        <v>70</v>
      </c>
      <c r="G513" s="1498" t="s">
        <v>34</v>
      </c>
      <c r="H513" s="1499" t="s">
        <v>307</v>
      </c>
      <c r="I513" s="1504">
        <v>46844</v>
      </c>
      <c r="J513" s="1498">
        <v>72</v>
      </c>
      <c r="K513" s="1512" t="s">
        <v>308</v>
      </c>
      <c r="L513" s="653" t="s">
        <v>35</v>
      </c>
      <c r="M513" s="653" t="e">
        <f>SUM(L513*20%)+L513</f>
        <v>#VALUE!</v>
      </c>
      <c r="N513" s="1498" t="s">
        <v>35</v>
      </c>
      <c r="O513" s="1498" t="s">
        <v>36</v>
      </c>
      <c r="P513" s="1502" t="s">
        <v>37</v>
      </c>
    </row>
    <row r="514" spans="1:16" ht="27" customHeight="1">
      <c r="A514" s="1497" t="s">
        <v>28</v>
      </c>
      <c r="B514" s="1498" t="s">
        <v>35</v>
      </c>
      <c r="C514" s="1498" t="s">
        <v>29</v>
      </c>
      <c r="D514" s="1498" t="s">
        <v>31</v>
      </c>
      <c r="E514" s="1499" t="s">
        <v>75</v>
      </c>
      <c r="F514" s="1498" t="s">
        <v>171</v>
      </c>
      <c r="G514" s="1498" t="s">
        <v>34</v>
      </c>
      <c r="H514" s="1499" t="s">
        <v>602</v>
      </c>
      <c r="I514" s="1504">
        <v>47034</v>
      </c>
      <c r="J514" s="1498" t="s">
        <v>35</v>
      </c>
      <c r="K514" s="1530" t="s">
        <v>35</v>
      </c>
      <c r="L514" s="653" t="s">
        <v>35</v>
      </c>
      <c r="M514" s="653" t="e">
        <f>SUM(L514*20%)+L514</f>
        <v>#VALUE!</v>
      </c>
      <c r="N514" s="1498" t="s">
        <v>35</v>
      </c>
      <c r="O514" s="1517" t="s">
        <v>36</v>
      </c>
      <c r="P514" s="1498" t="s">
        <v>43</v>
      </c>
    </row>
    <row r="515" spans="1:16" ht="27" customHeight="1">
      <c r="A515" s="1497" t="s">
        <v>28</v>
      </c>
      <c r="B515" s="1498" t="s">
        <v>585</v>
      </c>
      <c r="C515" s="1498" t="s">
        <v>29</v>
      </c>
      <c r="D515" s="1498" t="s">
        <v>31</v>
      </c>
      <c r="E515" s="1499" t="s">
        <v>69</v>
      </c>
      <c r="F515" s="1498" t="s">
        <v>70</v>
      </c>
      <c r="G515" s="1498" t="s">
        <v>64</v>
      </c>
      <c r="H515" s="1499" t="s">
        <v>586</v>
      </c>
      <c r="I515" s="1557">
        <v>47068</v>
      </c>
      <c r="J515" s="1498">
        <v>120</v>
      </c>
      <c r="K515" s="1512" t="s">
        <v>589</v>
      </c>
      <c r="L515" s="653">
        <v>595883.89</v>
      </c>
      <c r="M515" s="653">
        <f>SUM(L515*20%)+L515</f>
        <v>715060.66800000006</v>
      </c>
      <c r="N515" s="1498" t="s">
        <v>66</v>
      </c>
      <c r="O515" s="1504" t="s">
        <v>41</v>
      </c>
      <c r="P515" s="1504" t="s">
        <v>35</v>
      </c>
    </row>
    <row r="516" spans="1:16" ht="27" customHeight="1">
      <c r="A516" s="1497" t="s">
        <v>28</v>
      </c>
      <c r="B516" s="1498"/>
      <c r="C516" s="1498" t="s">
        <v>29</v>
      </c>
      <c r="D516" s="1498" t="s">
        <v>31</v>
      </c>
      <c r="E516" s="1499" t="s">
        <v>75</v>
      </c>
      <c r="F516" s="1498" t="s">
        <v>171</v>
      </c>
      <c r="G516" s="1498" t="s">
        <v>34</v>
      </c>
      <c r="H516" s="1499" t="s">
        <v>1047</v>
      </c>
      <c r="I516" s="1504">
        <v>47178</v>
      </c>
      <c r="J516" s="1498" t="s">
        <v>35</v>
      </c>
      <c r="K516" s="1498" t="s">
        <v>35</v>
      </c>
      <c r="L516" s="653" t="s">
        <v>35</v>
      </c>
      <c r="M516" s="653" t="e">
        <f>SUM(L516*20%)+L516</f>
        <v>#VALUE!</v>
      </c>
      <c r="N516" s="1502" t="s">
        <v>35</v>
      </c>
      <c r="O516" s="1503" t="s">
        <v>54</v>
      </c>
      <c r="P516" s="1503" t="s">
        <v>37</v>
      </c>
    </row>
    <row r="517" spans="1:16" ht="27" customHeight="1">
      <c r="A517" s="1497" t="s">
        <v>28</v>
      </c>
      <c r="B517" s="1498" t="s">
        <v>35</v>
      </c>
      <c r="C517" s="1498" t="s">
        <v>29</v>
      </c>
      <c r="D517" s="1498" t="s">
        <v>92</v>
      </c>
      <c r="E517" s="1499" t="s">
        <v>69</v>
      </c>
      <c r="F517" s="1498" t="s">
        <v>70</v>
      </c>
      <c r="G517" s="1498" t="s">
        <v>34</v>
      </c>
      <c r="H517" s="1499" t="s">
        <v>684</v>
      </c>
      <c r="I517" s="1504">
        <v>47209</v>
      </c>
      <c r="J517" s="1501" t="s">
        <v>35</v>
      </c>
      <c r="K517" s="1501" t="s">
        <v>35</v>
      </c>
      <c r="L517" s="653">
        <v>1414000</v>
      </c>
      <c r="M517" s="653">
        <f>SUM(L517*20%)+L517</f>
        <v>1696800</v>
      </c>
      <c r="N517" s="1498" t="s">
        <v>35</v>
      </c>
      <c r="O517" s="1498" t="s">
        <v>41</v>
      </c>
      <c r="P517" s="1498" t="s">
        <v>35</v>
      </c>
    </row>
    <row r="518" spans="1:16" ht="27" customHeight="1">
      <c r="A518" s="1497" t="s">
        <v>28</v>
      </c>
      <c r="B518" s="1498" t="s">
        <v>35</v>
      </c>
      <c r="C518" s="1498" t="s">
        <v>29</v>
      </c>
      <c r="D518" s="1498" t="s">
        <v>31</v>
      </c>
      <c r="E518" s="1499" t="s">
        <v>69</v>
      </c>
      <c r="F518" s="1498" t="s">
        <v>70</v>
      </c>
      <c r="G518" s="1498" t="s">
        <v>34</v>
      </c>
      <c r="H518" s="1499" t="s">
        <v>652</v>
      </c>
      <c r="I518" s="1504">
        <v>47209</v>
      </c>
      <c r="J518" s="1498" t="s">
        <v>35</v>
      </c>
      <c r="K518" s="1498" t="s">
        <v>35</v>
      </c>
      <c r="L518" s="653" t="s">
        <v>35</v>
      </c>
      <c r="M518" s="653" t="e">
        <f>SUM(L518*20%)+L518</f>
        <v>#VALUE!</v>
      </c>
      <c r="N518" s="1498" t="s">
        <v>35</v>
      </c>
      <c r="O518" s="1498" t="s">
        <v>35</v>
      </c>
      <c r="P518" s="1498" t="s">
        <v>35</v>
      </c>
    </row>
    <row r="519" spans="1:16" ht="27" customHeight="1">
      <c r="A519" s="1497" t="s">
        <v>28</v>
      </c>
      <c r="B519" s="1498" t="s">
        <v>758</v>
      </c>
      <c r="C519" s="1498" t="s">
        <v>29</v>
      </c>
      <c r="D519" s="1498" t="s">
        <v>31</v>
      </c>
      <c r="E519" s="1499" t="s">
        <v>69</v>
      </c>
      <c r="F519" s="1498" t="s">
        <v>70</v>
      </c>
      <c r="G519" s="1498" t="s">
        <v>64</v>
      </c>
      <c r="H519" s="1499" t="s">
        <v>759</v>
      </c>
      <c r="I519" s="1504">
        <v>47362</v>
      </c>
      <c r="J519" s="1498">
        <v>120</v>
      </c>
      <c r="K519" s="1512" t="s">
        <v>763</v>
      </c>
      <c r="L519" s="653">
        <v>3395000</v>
      </c>
      <c r="M519" s="653">
        <f>SUM(L519*20%)+L519</f>
        <v>4074000</v>
      </c>
      <c r="N519" s="1498" t="s">
        <v>98</v>
      </c>
      <c r="O519" s="1503" t="s">
        <v>41</v>
      </c>
      <c r="P519" s="1503">
        <v>43917</v>
      </c>
    </row>
    <row r="520" spans="1:16" ht="27" customHeight="1">
      <c r="A520" s="1497" t="s">
        <v>28</v>
      </c>
      <c r="B520" s="1498" t="s">
        <v>35</v>
      </c>
      <c r="C520" s="1498" t="s">
        <v>29</v>
      </c>
      <c r="D520" s="1498" t="s">
        <v>31</v>
      </c>
      <c r="E520" s="1499" t="s">
        <v>69</v>
      </c>
      <c r="F520" s="1498" t="s">
        <v>70</v>
      </c>
      <c r="G520" s="1498" t="s">
        <v>34</v>
      </c>
      <c r="H520" s="1499" t="s">
        <v>586</v>
      </c>
      <c r="I520" s="1557">
        <v>47433</v>
      </c>
      <c r="J520" s="1498" t="s">
        <v>35</v>
      </c>
      <c r="K520" s="1512" t="s">
        <v>35</v>
      </c>
      <c r="L520" s="653" t="s">
        <v>35</v>
      </c>
      <c r="M520" s="653" t="e">
        <f>SUM(L520*20%)+L520</f>
        <v>#VALUE!</v>
      </c>
      <c r="N520" s="1498" t="s">
        <v>35</v>
      </c>
      <c r="O520" s="1498" t="s">
        <v>35</v>
      </c>
      <c r="P520" s="1498" t="s">
        <v>35</v>
      </c>
    </row>
    <row r="521" spans="1:16" ht="27" customHeight="1">
      <c r="A521" s="1497" t="s">
        <v>28</v>
      </c>
      <c r="B521" s="1498"/>
      <c r="C521" s="1498" t="s">
        <v>29</v>
      </c>
      <c r="D521" s="1498" t="s">
        <v>31</v>
      </c>
      <c r="E521" s="1499" t="s">
        <v>69</v>
      </c>
      <c r="F521" s="1498" t="s">
        <v>70</v>
      </c>
      <c r="G521" s="1498" t="s">
        <v>34</v>
      </c>
      <c r="H521" s="1499" t="s">
        <v>759</v>
      </c>
      <c r="I521" s="1504">
        <v>47727</v>
      </c>
      <c r="J521" s="1498" t="s">
        <v>35</v>
      </c>
      <c r="K521" s="1512" t="s">
        <v>35</v>
      </c>
      <c r="L521" s="653">
        <v>3395000</v>
      </c>
      <c r="M521" s="653">
        <f>SUM(L521*20%)+L521</f>
        <v>4074000</v>
      </c>
      <c r="N521" s="1565" t="s">
        <v>35</v>
      </c>
      <c r="O521" s="1503" t="s">
        <v>41</v>
      </c>
      <c r="P521" s="1503">
        <v>43917</v>
      </c>
    </row>
    <row r="522" spans="1:16" ht="27" customHeight="1">
      <c r="A522" s="1497" t="s">
        <v>28</v>
      </c>
      <c r="B522" s="1498" t="s">
        <v>478</v>
      </c>
      <c r="C522" s="1498" t="s">
        <v>29</v>
      </c>
      <c r="D522" s="1498" t="s">
        <v>86</v>
      </c>
      <c r="E522" s="1499" t="s">
        <v>133</v>
      </c>
      <c r="F522" s="1498" t="s">
        <v>364</v>
      </c>
      <c r="G522" s="1498" t="s">
        <v>64</v>
      </c>
      <c r="H522" s="1520" t="s">
        <v>479</v>
      </c>
      <c r="I522" s="1504" t="s">
        <v>480</v>
      </c>
      <c r="J522" s="1497">
        <v>60</v>
      </c>
      <c r="K522" s="1498" t="s">
        <v>353</v>
      </c>
      <c r="L522" s="653">
        <v>230000</v>
      </c>
      <c r="M522" s="653">
        <f>IF(ISNUMBER(L522),SUM(L522*20%)+L522,"")</f>
        <v>276000</v>
      </c>
      <c r="N522" s="1502" t="s">
        <v>66</v>
      </c>
      <c r="O522" s="1503" t="s">
        <v>54</v>
      </c>
      <c r="P522" s="1503" t="s">
        <v>37</v>
      </c>
    </row>
  </sheetData>
  <autoFilter ref="A1:P522" xr:uid="{00000000-0001-0000-0100-000000000000}">
    <sortState xmlns:xlrd2="http://schemas.microsoft.com/office/spreadsheetml/2017/richdata2" ref="A304:P522">
      <sortCondition ref="I1:I522"/>
    </sortState>
  </autoFilter>
  <customSheetViews>
    <customSheetView guid="{03AD2AFE-2DDD-4D37-8F9F-D1CAD93AE394}" scale="80" showPageBreaks="1" showAutoFilter="1">
      <pane xSplit="5" ySplit="1" topLeftCell="N102" activePane="bottomRight" state="frozen"/>
      <selection pane="bottomRight" activeCell="E105" sqref="E105"/>
      <pageMargins left="0" right="0" top="0" bottom="0" header="0" footer="0"/>
      <pageSetup paperSize="9" orientation="portrait" r:id="rId1"/>
      <headerFooter>
        <oddFooter>&amp;C&amp;1#&amp;"Calibri"&amp;10&amp;KFF0000OFFICIAL</oddFooter>
      </headerFooter>
      <autoFilter ref="A1:AC347" xr:uid="{68AA710D-FACF-4C31-841C-71BE85062DCB}">
        <sortState xmlns:xlrd2="http://schemas.microsoft.com/office/spreadsheetml/2017/richdata2" ref="A3:AC347">
          <sortCondition ref="G1:G347"/>
        </sortState>
      </autoFilter>
    </customSheetView>
    <customSheetView guid="{72F95FA9-AFFF-408B-84D5-C75A1D3CC966}" scale="80" showPageBreaks="1" showAutoFilter="1" topLeftCell="S1">
      <selection activeCell="AE107" sqref="AE107"/>
      <pageMargins left="0" right="0" top="0" bottom="0" header="0" footer="0"/>
      <pageSetup paperSize="9" orientation="portrait" r:id="rId2"/>
      <headerFooter>
        <oddFooter>&amp;C&amp;1#&amp;"Calibri"&amp;10&amp;KFF0000OFFICIAL</oddFooter>
      </headerFooter>
      <autoFilter ref="A1:Y347" xr:uid="{E808BB5F-DA72-48A6-B12A-B5291EBCB2A0}"/>
    </customSheetView>
    <customSheetView guid="{D94B7CCD-4AA3-4F35-A1EC-06B789B9F348}" scale="85" showPageBreaks="1" filter="1" showAutoFilter="1" topLeftCell="E1">
      <selection activeCell="F31" sqref="F31"/>
      <pageMargins left="0" right="0" top="0" bottom="0" header="0" footer="0"/>
      <pageSetup paperSize="9" orientation="portrait" r:id="rId3"/>
      <headerFooter>
        <oddFooter>&amp;C&amp;1#&amp;"Calibri"&amp;10&amp;KFF0000OFFICIAL</oddFooter>
      </headerFooter>
      <autoFilter ref="A1:Y346" xr:uid="{3B35414D-F3BB-4F0E-BE84-C4447D2BDB58}">
        <filterColumn colId="18">
          <filters>
            <filter val="Vicky Moss"/>
          </filters>
        </filterColumn>
      </autoFilter>
    </customSheetView>
    <customSheetView guid="{E2C38D4C-A246-439C-8E43-A1D322E960FD}" scale="70" filter="1" showAutoFilter="1">
      <selection activeCell="Q353" sqref="Q353"/>
      <pageMargins left="0" right="0" top="0" bottom="0" header="0" footer="0"/>
      <pageSetup paperSize="9" orientation="portrait" r:id="rId4"/>
      <headerFooter>
        <oddFooter>&amp;C&amp;1#&amp;"Calibri"&amp;10&amp;KFF0000OFFICIAL</oddFooter>
      </headerFooter>
      <autoFilter ref="A1:Y346" xr:uid="{B588CAB1-0AE3-41FF-8157-BDC1088E46CC}">
        <filterColumn colId="18">
          <filters>
            <filter val="Sophie Midcalf"/>
          </filters>
        </filterColumn>
      </autoFilter>
    </customSheetView>
    <customSheetView guid="{C4CA1DDF-3AFE-43A6-8BB5-B707D5EB70E1}" scale="80" showPageBreaks="1" showAutoFilter="1">
      <pane xSplit="4" ySplit="1" topLeftCell="S2" activePane="bottomRight" state="frozen"/>
      <selection pane="bottomRight" activeCell="X221" sqref="X221"/>
      <pageMargins left="0" right="0" top="0" bottom="0" header="0" footer="0"/>
      <pageSetup paperSize="9" orientation="portrait" r:id="rId5"/>
      <headerFooter>
        <oddFooter>&amp;C&amp;1#&amp;"Calibri"&amp;10&amp;KFF0000OFFICIAL</oddFooter>
      </headerFooter>
      <autoFilter ref="A1:Y347" xr:uid="{27CD1630-9778-42B7-8F0B-3EE19C1B8893}"/>
    </customSheetView>
    <customSheetView guid="{75DC90F1-9A33-4736-80DE-C58B8C19925D}" showPageBreaks="1" showAutoFilter="1">
      <pane xSplit="5" ySplit="1" topLeftCell="F341" activePane="bottomRight" state="frozen"/>
      <selection pane="bottomRight" activeCell="D347" sqref="D347"/>
      <pageMargins left="0" right="0" top="0" bottom="0" header="0" footer="0"/>
      <pageSetup paperSize="9" orientation="portrait" r:id="rId6"/>
      <headerFooter>
        <oddFooter>&amp;C&amp;1#&amp;"Calibri"&amp;10&amp;KFF0000OFFICIAL</oddFooter>
      </headerFooter>
      <autoFilter ref="A1:Y350" xr:uid="{D68F6DDE-A7C2-471F-98C3-4BE07CE9FA4D}"/>
    </customSheetView>
    <customSheetView guid="{C50ED91D-25E4-46FC-8E07-25A27A03203F}" scale="66" showPageBreaks="1" showAutoFilter="1" topLeftCell="M1">
      <selection activeCell="U5" sqref="U5"/>
      <pageMargins left="0" right="0" top="0" bottom="0" header="0" footer="0"/>
      <pageSetup paperSize="9" orientation="portrait" r:id="rId7"/>
      <headerFooter>
        <oddFooter>&amp;C&amp;1#&amp;"Calibri"&amp;10&amp;KFF0000OFFICIAL</oddFooter>
      </headerFooter>
      <autoFilter ref="A1:Y353" xr:uid="{3F78FD9F-A6FE-4B15-B4F1-A749B8417E12}"/>
    </customSheetView>
    <customSheetView guid="{B0C47159-7A10-4CD0-9C42-4D9C3E367478}" scale="66" showPageBreaks="1" filter="1" showAutoFilter="1">
      <selection activeCell="A44" sqref="A44:XFD44"/>
      <pageMargins left="0" right="0" top="0" bottom="0" header="0" footer="0"/>
      <pageSetup paperSize="9" orientation="portrait" r:id="rId8"/>
      <headerFooter>
        <oddFooter>&amp;C&amp;1#&amp;"Calibri"&amp;10&amp;KFF0000OFFICIAL</oddFooter>
      </headerFooter>
      <autoFilter ref="A1:Y352" xr:uid="{67F95DFE-EE91-4F17-844D-FED3527DCCFC}">
        <filterColumn colId="18">
          <filters>
            <filter val="Emma Richards"/>
          </filters>
        </filterColumn>
        <sortState xmlns:xlrd2="http://schemas.microsoft.com/office/spreadsheetml/2017/richdata2" ref="A3:Y352">
          <sortCondition ref="G1:G358"/>
        </sortState>
      </autoFilter>
    </customSheetView>
    <customSheetView guid="{93640DF0-8C30-49B3-9AEE-B443879E2D06}" scale="71" filter="1" showAutoFilter="1" topLeftCell="V62">
      <selection activeCell="W4" sqref="W4"/>
      <pageMargins left="0" right="0" top="0" bottom="0" header="0" footer="0"/>
      <pageSetup paperSize="9" orientation="portrait" r:id="rId9"/>
      <headerFooter>
        <oddFooter>&amp;C&amp;1#&amp;"Calibri"&amp;10&amp;KFF0000OFFICIAL</oddFooter>
      </headerFooter>
      <autoFilter ref="A1:Y362" xr:uid="{D8B242C2-BC6D-45AF-90D4-3DB0F7410758}">
        <filterColumn colId="18">
          <filters>
            <filter val="Kate Chapman"/>
          </filters>
        </filterColumn>
        <sortState xmlns:xlrd2="http://schemas.microsoft.com/office/spreadsheetml/2017/richdata2" ref="A3:Y362">
          <sortCondition ref="G1:G358"/>
        </sortState>
      </autoFilter>
    </customSheetView>
    <customSheetView guid="{2B13F76B-25C3-4174-A739-40F22F721CD1}" scale="80" showAutoFilter="1">
      <pane xSplit="5" ySplit="1" topLeftCell="F128" activePane="bottomRight" state="frozen"/>
      <selection pane="bottomRight" activeCell="E130" sqref="E130"/>
      <pageMargins left="0" right="0" top="0" bottom="0" header="0" footer="0"/>
      <pageSetup paperSize="9" orientation="portrait" r:id="rId10"/>
      <headerFooter>
        <oddFooter>&amp;C&amp;1#&amp;"Calibri"&amp;10&amp;KFF0000OFFICIAL</oddFooter>
      </headerFooter>
      <autoFilter ref="A1:Y360" xr:uid="{B8F3544A-407B-429C-A329-5EF27D4C1F0D}">
        <sortState xmlns:xlrd2="http://schemas.microsoft.com/office/spreadsheetml/2017/richdata2" ref="A3:Y360">
          <sortCondition ref="G1:G360"/>
        </sortState>
      </autoFilter>
    </customSheetView>
    <customSheetView guid="{D3FBC512-40E9-4DA3-B67A-E2456DB39E9B}" scale="90" showPageBreaks="1" filter="1" showAutoFilter="1" topLeftCell="D1">
      <pane xSplit="2" ySplit="1" topLeftCell="S6" activePane="bottomRight" state="frozen"/>
      <selection pane="bottomRight" activeCell="E6" sqref="E6"/>
      <pageMargins left="0" right="0" top="0" bottom="0" header="0" footer="0"/>
      <pageSetup paperSize="9" orientation="portrait" r:id="rId11"/>
      <headerFooter>
        <oddFooter>&amp;C&amp;1#&amp;"Calibri"&amp;10&amp;KFF0000OFFICIAL</oddFooter>
      </headerFooter>
      <autoFilter ref="A1:Y361" xr:uid="{0CAB616B-3A9A-452F-9A87-20FE03B6E34F}">
        <filterColumn colId="18">
          <filters>
            <filter val="Patricia Murphy"/>
          </filters>
        </filterColumn>
      </autoFilter>
    </customSheetView>
    <customSheetView guid="{AADBAA3C-4A28-4138-8AFD-382151AB0505}" scale="66" showAutoFilter="1">
      <pane ySplit="45" topLeftCell="A47" activePane="bottomLeft" state="frozen"/>
      <selection pane="bottomLeft" activeCell="A47" sqref="A47"/>
      <pageMargins left="0" right="0" top="0" bottom="0" header="0" footer="0"/>
      <pageSetup paperSize="9" orientation="portrait" r:id="rId12"/>
      <headerFooter>
        <oddFooter>&amp;C&amp;1#&amp;"Calibri"&amp;10&amp;KFF0000OFFICIAL</oddFooter>
      </headerFooter>
      <autoFilter ref="A1:AD313" xr:uid="{F11BBE74-D586-4A73-9A12-2BEB591DB0E5}"/>
    </customSheetView>
    <customSheetView guid="{111E1D8A-D793-4E39-8420-A0C5178E038A}" scale="70" showAutoFilter="1">
      <pane xSplit="5" ySplit="1" topLeftCell="O2" activePane="bottomRight" state="frozen"/>
      <selection pane="bottomRight" activeCell="R5" sqref="R5"/>
      <pageMargins left="0" right="0" top="0" bottom="0" header="0" footer="0"/>
      <pageSetup paperSize="9" orientation="portrait" r:id="rId13"/>
      <autoFilter ref="A1:AD319" xr:uid="{B7A7D22D-52EE-4360-B1D5-3E6A52F41702}">
        <sortState xmlns:xlrd2="http://schemas.microsoft.com/office/spreadsheetml/2017/richdata2" ref="A2:AD319">
          <sortCondition ref="G1:G319"/>
        </sortState>
      </autoFilter>
    </customSheetView>
    <customSheetView guid="{E8A71C07-35BC-410C-B8FF-F60CE1C03368}" scale="70" showAutoFilter="1" topLeftCell="G1">
      <selection activeCell="E68" sqref="E68"/>
      <pageMargins left="0" right="0" top="0" bottom="0" header="0" footer="0"/>
      <pageSetup paperSize="9" orientation="portrait" r:id="rId14"/>
      <autoFilter ref="A1:Z302" xr:uid="{B83A8EC4-30F3-4223-87B1-A23824A7F3FD}"/>
    </customSheetView>
    <customSheetView guid="{55F42AF0-96B4-4083-9714-DAA8B604590B}" scale="80" showAutoFilter="1" topLeftCell="R1">
      <pane ySplit="1" topLeftCell="A138" activePane="bottomLeft" state="frozen"/>
      <selection pane="bottomLeft" activeCell="X140" sqref="X140"/>
      <pageMargins left="0" right="0" top="0" bottom="0" header="0" footer="0"/>
      <pageSetup paperSize="9" orientation="portrait" r:id="rId15"/>
      <autoFilter ref="A1:Y302" xr:uid="{1F7B971F-AB99-4D3E-9737-8EF0D08DC98E}"/>
    </customSheetView>
    <customSheetView guid="{948D2E33-B086-46ED-A908-ACF03A36FD59}" showAutoFilter="1" topLeftCell="A317">
      <selection activeCell="E328" sqref="E328"/>
      <pageMargins left="0" right="0" top="0" bottom="0" header="0" footer="0"/>
      <pageSetup paperSize="9" orientation="portrait" r:id="rId16"/>
      <autoFilter ref="A1:AD321" xr:uid="{038494AF-5F0B-4308-87CE-DB18B892FF9E}"/>
    </customSheetView>
    <customSheetView guid="{0075AE26-7AAE-449B-B498-05D3C89595DA}" scale="80" showAutoFilter="1">
      <pane xSplit="5" ySplit="8" topLeftCell="F9" activePane="bottomRight" state="frozen"/>
      <selection pane="bottomRight" activeCell="R4" sqref="R4"/>
      <pageMargins left="0" right="0" top="0" bottom="0" header="0" footer="0"/>
      <pageSetup paperSize="9" orientation="portrait" r:id="rId17"/>
      <headerFooter>
        <oddFooter>&amp;C&amp;1#&amp;"Calibri"&amp;10&amp;KFF0000OFFICIAL</oddFooter>
      </headerFooter>
      <autoFilter ref="A1:AD358" xr:uid="{13B36EF1-A81C-467A-8723-EEF8CE8D4A63}"/>
    </customSheetView>
    <customSheetView guid="{DC499C24-673D-41B7-8539-2D48464FEE75}" scale="80" showAutoFilter="1">
      <pane xSplit="5" ySplit="1" topLeftCell="V117" activePane="bottomRight" state="frozen"/>
      <selection pane="bottomRight" activeCell="X131" sqref="X131"/>
      <pageMargins left="0" right="0" top="0" bottom="0" header="0" footer="0"/>
      <pageSetup paperSize="9" orientation="portrait" r:id="rId18"/>
      <headerFooter>
        <oddFooter>&amp;C&amp;1#&amp;"Calibri"&amp;10&amp;KFF0000OFFICIAL</oddFooter>
      </headerFooter>
      <autoFilter ref="A1:AC347" xr:uid="{A53F3FD1-CCBA-4A2F-9A7E-9E59A12DFF06}">
        <sortState xmlns:xlrd2="http://schemas.microsoft.com/office/spreadsheetml/2017/richdata2" ref="A2:AC347">
          <sortCondition ref="G1:G347"/>
        </sortState>
      </autoFilter>
    </customSheetView>
    <customSheetView guid="{60598B7A-9956-4AF7-BFA4-C4E2EC2FF791}" scale="70" showPageBreaks="1" showAutoFilter="1" topLeftCell="I1">
      <pane ySplit="1" topLeftCell="A65" activePane="bottomLeft" state="frozen"/>
      <selection pane="bottomLeft" activeCell="X68" sqref="X68"/>
      <pageMargins left="0" right="0" top="0" bottom="0" header="0" footer="0"/>
      <pageSetup paperSize="9" orientation="portrait" r:id="rId19"/>
      <headerFooter>
        <oddFooter>&amp;C&amp;1#&amp;"Calibri"&amp;10&amp;KFF0000OFFICIAL</oddFooter>
      </headerFooter>
      <autoFilter ref="A1:Y347" xr:uid="{1E3DF7EA-FE09-4B5D-B85E-F66863DF1B15}"/>
    </customSheetView>
    <customSheetView guid="{9E076E2C-7493-4447-AF1A-1D294B765C0C}" scale="70" showPageBreaks="1" filter="1" showAutoFilter="1">
      <selection activeCell="C354" sqref="C354"/>
      <pageMargins left="0" right="0" top="0" bottom="0" header="0" footer="0"/>
      <pageSetup paperSize="9" orientation="portrait" r:id="rId20"/>
      <headerFooter>
        <oddFooter>&amp;C&amp;1#&amp;"Calibri"&amp;10&amp;KFF0000OFFICIAL</oddFooter>
      </headerFooter>
      <autoFilter ref="A1:Y347" xr:uid="{4A68F0C5-40CD-4932-B8D4-2E1AF2335FA2}">
        <filterColumn colId="18">
          <filters>
            <filter val="Becky Naisbitt"/>
          </filters>
        </filterColumn>
      </autoFilter>
    </customSheetView>
  </customSheetViews>
  <conditionalFormatting sqref="C135 C199:E200 N167 C163:C164 C167 P163 D163:H167">
    <cfRule type="cellIs" dxfId="759" priority="817" operator="equal">
      <formula>"Quotation"</formula>
    </cfRule>
  </conditionalFormatting>
  <conditionalFormatting sqref="N163">
    <cfRule type="cellIs" dxfId="758" priority="692" operator="equal">
      <formula>"Quotation"</formula>
    </cfRule>
  </conditionalFormatting>
  <conditionalFormatting sqref="N164">
    <cfRule type="cellIs" dxfId="757" priority="679" operator="equal">
      <formula>"Quotation"</formula>
    </cfRule>
  </conditionalFormatting>
  <conditionalFormatting sqref="O161:P161">
    <cfRule type="cellIs" dxfId="756" priority="637" operator="equal">
      <formula>"Quotation"</formula>
    </cfRule>
  </conditionalFormatting>
  <conditionalFormatting sqref="O168:P168">
    <cfRule type="cellIs" dxfId="755" priority="634" operator="equal">
      <formula>"Quotation"</formula>
    </cfRule>
  </conditionalFormatting>
  <conditionalFormatting sqref="O169:P169">
    <cfRule type="cellIs" dxfId="754" priority="633" operator="equal">
      <formula>"Quotation"</formula>
    </cfRule>
  </conditionalFormatting>
  <conditionalFormatting sqref="P164">
    <cfRule type="cellIs" dxfId="753" priority="545" operator="equal">
      <formula>"Quotation"</formula>
    </cfRule>
  </conditionalFormatting>
  <conditionalFormatting sqref="O164">
    <cfRule type="cellIs" dxfId="752" priority="544" operator="equal">
      <formula>"Quotation"</formula>
    </cfRule>
  </conditionalFormatting>
  <conditionalFormatting sqref="H199:H200">
    <cfRule type="cellIs" dxfId="751" priority="532" operator="equal">
      <formula>"Quotation"</formula>
    </cfRule>
  </conditionalFormatting>
  <conditionalFormatting sqref="D421">
    <cfRule type="cellIs" dxfId="750" priority="185" operator="equal">
      <formula>"Quotation"</formula>
    </cfRule>
  </conditionalFormatting>
  <conditionalFormatting sqref="E91">
    <cfRule type="cellIs" dxfId="749" priority="172" operator="equal">
      <formula>"Quotation"</formula>
    </cfRule>
  </conditionalFormatting>
  <conditionalFormatting sqref="E157">
    <cfRule type="cellIs" dxfId="748" priority="170" operator="equal">
      <formula>"Quotation"</formula>
    </cfRule>
  </conditionalFormatting>
  <conditionalFormatting sqref="E216">
    <cfRule type="cellIs" dxfId="747" priority="169" operator="equal">
      <formula>"Quotation"</formula>
    </cfRule>
  </conditionalFormatting>
  <conditionalFormatting sqref="E221:E222">
    <cfRule type="cellIs" dxfId="746" priority="168" operator="equal">
      <formula>"Quotation"</formula>
    </cfRule>
  </conditionalFormatting>
  <conditionalFormatting sqref="E238">
    <cfRule type="cellIs" dxfId="745" priority="167" operator="equal">
      <formula>"Quotation"</formula>
    </cfRule>
  </conditionalFormatting>
  <conditionalFormatting sqref="E283">
    <cfRule type="cellIs" dxfId="744" priority="165" operator="equal">
      <formula>"Quotation"</formula>
    </cfRule>
  </conditionalFormatting>
  <conditionalFormatting sqref="E313">
    <cfRule type="cellIs" dxfId="743" priority="164" operator="equal">
      <formula>"Quotation"</formula>
    </cfRule>
  </conditionalFormatting>
  <conditionalFormatting sqref="E432">
    <cfRule type="cellIs" dxfId="742" priority="163" operator="equal">
      <formula>"Quotation"</formula>
    </cfRule>
  </conditionalFormatting>
  <conditionalFormatting sqref="E441">
    <cfRule type="cellIs" dxfId="741" priority="162" operator="equal">
      <formula>"Quotation"</formula>
    </cfRule>
  </conditionalFormatting>
  <conditionalFormatting sqref="E443">
    <cfRule type="cellIs" dxfId="740" priority="161" operator="equal">
      <formula>"Quotation"</formula>
    </cfRule>
  </conditionalFormatting>
  <conditionalFormatting sqref="K205">
    <cfRule type="cellIs" dxfId="739" priority="128" operator="equal">
      <formula>"Quotation"</formula>
    </cfRule>
  </conditionalFormatting>
  <conditionalFormatting sqref="E61">
    <cfRule type="cellIs" dxfId="738" priority="92" operator="equal">
      <formula>"Quotation"</formula>
    </cfRule>
  </conditionalFormatting>
  <conditionalFormatting sqref="C165:C166">
    <cfRule type="cellIs" dxfId="737" priority="85" operator="equal">
      <formula>"Quotation"</formula>
    </cfRule>
  </conditionalFormatting>
  <conditionalFormatting sqref="N166">
    <cfRule type="cellIs" dxfId="736" priority="83" operator="equal">
      <formula>"Quotation"</formula>
    </cfRule>
  </conditionalFormatting>
  <conditionalFormatting sqref="N165">
    <cfRule type="cellIs" dxfId="735" priority="81" operator="equal">
      <formula>"Quotation"</formula>
    </cfRule>
  </conditionalFormatting>
  <conditionalFormatting sqref="O165:P165">
    <cfRule type="cellIs" dxfId="734" priority="80" operator="equal">
      <formula>"Quotation"</formula>
    </cfRule>
  </conditionalFormatting>
  <dataValidations count="7">
    <dataValidation type="whole" allowBlank="1" showInputMessage="1" showErrorMessage="1" error="Please insert a whole number between 1 and 240" sqref="J163 J166:J167" xr:uid="{4253F93E-6D4C-4148-8085-2BDA83D42ECA}">
      <formula1>1</formula1>
      <formula2>240</formula2>
    </dataValidation>
    <dataValidation type="list" allowBlank="1" showInputMessage="1" showErrorMessage="1" sqref="O163" xr:uid="{1E8F5674-B011-49CB-B3DA-C1C84F6DD3B3}"/>
    <dataValidation allowBlank="1" showInputMessage="1" showErrorMessage="1" sqref="C499 C1:C3 C6:C206 C208:C446" xr:uid="{8B98E136-204D-4AF8-81D6-17FF8C4C9F00}"/>
    <dataValidation type="date" operator="greaterThan" allowBlank="1" showInputMessage="1" showErrorMessage="1" error="Please enter a valid date in the following format **/**/****" sqref="I163 I166:I167" xr:uid="{C97CDE24-9C70-4427-95A7-4A2A15AA664A}">
      <formula1>36526</formula1>
    </dataValidation>
    <dataValidation type="list" allowBlank="1" showInputMessage="1" showErrorMessage="1" sqref="D1:D206 D208:D522" xr:uid="{824F6FA1-6609-4008-AD0B-159D0775C2B9}">
      <formula1>"CYPS,HAS,Resources,CD,Environment,HR_BS,LE,LDS"</formula1>
    </dataValidation>
    <dataValidation type="list" allowBlank="1" showInputMessage="1" showErrorMessage="1" sqref="E1:E206 E208:E522" xr:uid="{557537EB-6BB8-4660-B798-39B08ACCE80E}">
      <formula1>INDIRECT($D1)</formula1>
    </dataValidation>
    <dataValidation type="list" allowBlank="1" showInputMessage="1" showErrorMessage="1" sqref="G499 G420:G446 A6:A206 A1:A3 G1:G3 G6:G8 G10:G206 F1:F206 A208:A522 G208:G418 F208:F1048576" xr:uid="{632471BB-ABF8-48E6-B0ED-9C4C868C9C8D}">
      <formula1>#REF!</formula1>
    </dataValidation>
  </dataValidations>
  <pageMargins left="0.7" right="0.7" top="0.75" bottom="0.75" header="0.3" footer="0.3"/>
  <pageSetup paperSize="9" orientation="portrait" r:id="rId21"/>
  <headerFooter>
    <oddFooter>&amp;C&amp;"Arial"&amp;12&amp;K000000_x000D_&amp;1#&amp;"Calibri"&amp;10&amp;KFF0000OFFICIAL - SENSITIVE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5380C-721F-4005-BF58-47D2A4E39CF8}">
  <dimension ref="A1:AY1559"/>
  <sheetViews>
    <sheetView topLeftCell="B1" workbookViewId="0">
      <selection activeCell="I1149" sqref="I1149"/>
    </sheetView>
  </sheetViews>
  <sheetFormatPr defaultRowHeight="15"/>
  <cols>
    <col min="10" max="10" width="35" customWidth="1"/>
    <col min="25" max="25" width="21.36328125" customWidth="1"/>
    <col min="29" max="29" width="39" customWidth="1"/>
  </cols>
  <sheetData>
    <row r="1" spans="1:32" s="3" customFormat="1" ht="98.25" customHeight="1">
      <c r="A1" s="705" t="s">
        <v>1237</v>
      </c>
      <c r="B1" s="705" t="s">
        <v>1080</v>
      </c>
      <c r="C1" s="706" t="s">
        <v>1</v>
      </c>
      <c r="D1" s="33" t="s">
        <v>2</v>
      </c>
      <c r="E1" s="997" t="s">
        <v>3</v>
      </c>
      <c r="F1" s="997" t="s">
        <v>4</v>
      </c>
      <c r="G1" s="997" t="s">
        <v>5</v>
      </c>
      <c r="H1" s="21" t="s">
        <v>6</v>
      </c>
      <c r="I1" s="21" t="s">
        <v>7</v>
      </c>
      <c r="J1" s="1022" t="s">
        <v>1238</v>
      </c>
      <c r="K1" s="2" t="s">
        <v>1239</v>
      </c>
      <c r="L1" s="21" t="s">
        <v>9</v>
      </c>
      <c r="M1" s="21" t="s">
        <v>10</v>
      </c>
      <c r="N1" s="21" t="s">
        <v>11</v>
      </c>
      <c r="O1" s="21" t="s">
        <v>12</v>
      </c>
      <c r="P1" s="21" t="s">
        <v>13</v>
      </c>
      <c r="Q1" s="24" t="s">
        <v>14</v>
      </c>
      <c r="R1" s="37" t="s">
        <v>15</v>
      </c>
      <c r="S1" s="29" t="s">
        <v>17</v>
      </c>
      <c r="T1" s="21" t="s">
        <v>18</v>
      </c>
      <c r="U1" s="21" t="s">
        <v>19</v>
      </c>
      <c r="V1" s="1376" t="s">
        <v>20</v>
      </c>
      <c r="W1" s="2" t="s">
        <v>21</v>
      </c>
      <c r="X1" s="21" t="s">
        <v>22</v>
      </c>
      <c r="Y1" s="21" t="s">
        <v>23</v>
      </c>
      <c r="Z1" s="22" t="s">
        <v>1081</v>
      </c>
      <c r="AA1" s="23" t="s">
        <v>24</v>
      </c>
      <c r="AB1" s="36" t="s">
        <v>1240</v>
      </c>
      <c r="AC1" s="205" t="s">
        <v>25</v>
      </c>
      <c r="AD1" s="206" t="s">
        <v>1080</v>
      </c>
      <c r="AE1" s="217" t="s">
        <v>26</v>
      </c>
      <c r="AF1" s="1320" t="s">
        <v>27</v>
      </c>
    </row>
    <row r="2" spans="1:32" s="1" customFormat="1" ht="57.6" customHeight="1">
      <c r="A2" s="1060">
        <v>44974</v>
      </c>
      <c r="B2" s="1064" t="s">
        <v>210</v>
      </c>
      <c r="C2" s="1021" t="s">
        <v>2530</v>
      </c>
      <c r="D2" s="1021" t="s">
        <v>1034</v>
      </c>
      <c r="E2" s="1020" t="s">
        <v>210</v>
      </c>
      <c r="F2" s="1020" t="s">
        <v>190</v>
      </c>
      <c r="G2" s="1020" t="s">
        <v>190</v>
      </c>
      <c r="H2" s="1066" t="s">
        <v>190</v>
      </c>
      <c r="I2" s="1066" t="s">
        <v>190</v>
      </c>
      <c r="J2" s="1095" t="s">
        <v>2531</v>
      </c>
      <c r="K2" s="1072" t="s">
        <v>2532</v>
      </c>
      <c r="L2" s="1066" t="s">
        <v>190</v>
      </c>
      <c r="M2" s="1066" t="s">
        <v>190</v>
      </c>
      <c r="N2" s="1066" t="s">
        <v>190</v>
      </c>
      <c r="O2" s="1142">
        <v>37032</v>
      </c>
      <c r="P2" s="1142">
        <v>44286</v>
      </c>
      <c r="Q2" s="1072" t="s">
        <v>1350</v>
      </c>
      <c r="R2" s="1072" t="s">
        <v>2533</v>
      </c>
      <c r="S2" s="1021" t="s">
        <v>237</v>
      </c>
      <c r="T2" s="1204" t="s">
        <v>190</v>
      </c>
      <c r="U2" s="1066" t="s">
        <v>190</v>
      </c>
      <c r="V2" s="1066"/>
      <c r="W2" s="1072" t="s">
        <v>1036</v>
      </c>
      <c r="X2" s="1072" t="s">
        <v>1346</v>
      </c>
      <c r="Y2" s="1072" t="s">
        <v>1266</v>
      </c>
      <c r="Z2" s="1066" t="s">
        <v>190</v>
      </c>
      <c r="AA2" s="1066" t="s">
        <v>190</v>
      </c>
      <c r="AB2" s="1066" t="s">
        <v>190</v>
      </c>
      <c r="AC2" s="1095" t="s">
        <v>2534</v>
      </c>
      <c r="AD2" s="1020" t="s">
        <v>190</v>
      </c>
      <c r="AE2" s="1075" t="s">
        <v>2533</v>
      </c>
      <c r="AF2"/>
    </row>
    <row r="3" spans="1:32" s="1" customFormat="1" ht="57" customHeight="1">
      <c r="A3" s="1060">
        <v>44974</v>
      </c>
      <c r="B3" s="1064" t="s">
        <v>210</v>
      </c>
      <c r="C3" s="1021">
        <v>30151</v>
      </c>
      <c r="D3" s="1021" t="s">
        <v>1034</v>
      </c>
      <c r="E3" s="1020" t="s">
        <v>210</v>
      </c>
      <c r="F3" s="1020" t="s">
        <v>190</v>
      </c>
      <c r="G3" s="1020" t="s">
        <v>190</v>
      </c>
      <c r="H3" s="1066" t="s">
        <v>190</v>
      </c>
      <c r="I3" s="1066" t="s">
        <v>190</v>
      </c>
      <c r="J3" s="1095" t="s">
        <v>1035</v>
      </c>
      <c r="K3" s="1072" t="s">
        <v>2532</v>
      </c>
      <c r="L3" s="1066" t="s">
        <v>190</v>
      </c>
      <c r="M3" s="1066" t="s">
        <v>190</v>
      </c>
      <c r="N3" s="1066" t="s">
        <v>190</v>
      </c>
      <c r="O3" s="1142">
        <v>37032</v>
      </c>
      <c r="P3" s="1142">
        <v>45016</v>
      </c>
      <c r="Q3" s="1075" t="s">
        <v>1350</v>
      </c>
      <c r="R3" s="1072" t="s">
        <v>1057</v>
      </c>
      <c r="S3" s="1021" t="s">
        <v>237</v>
      </c>
      <c r="T3" s="1204" t="s">
        <v>190</v>
      </c>
      <c r="U3" s="1066" t="s">
        <v>190</v>
      </c>
      <c r="V3" s="1066"/>
      <c r="W3" s="1072" t="s">
        <v>1036</v>
      </c>
      <c r="X3" s="1072" t="s">
        <v>1346</v>
      </c>
      <c r="Y3" s="1072" t="s">
        <v>1266</v>
      </c>
      <c r="Z3" s="1066" t="s">
        <v>190</v>
      </c>
      <c r="AA3" s="1204" t="s">
        <v>190</v>
      </c>
      <c r="AB3" s="1204" t="s">
        <v>190</v>
      </c>
      <c r="AC3" s="1095" t="s">
        <v>2535</v>
      </c>
      <c r="AD3" s="1020" t="s">
        <v>190</v>
      </c>
      <c r="AE3" s="1075" t="s">
        <v>1057</v>
      </c>
      <c r="AF3"/>
    </row>
    <row r="4" spans="1:32" s="53" customFormat="1" ht="15.6">
      <c r="A4" s="1060">
        <v>44974</v>
      </c>
      <c r="B4" s="1064" t="s">
        <v>210</v>
      </c>
      <c r="C4" s="1021" t="s">
        <v>2536</v>
      </c>
      <c r="D4" s="1021" t="s">
        <v>1034</v>
      </c>
      <c r="E4" s="1020" t="s">
        <v>210</v>
      </c>
      <c r="F4" s="1020" t="s">
        <v>190</v>
      </c>
      <c r="G4" s="1020" t="s">
        <v>190</v>
      </c>
      <c r="H4" s="1066" t="s">
        <v>190</v>
      </c>
      <c r="I4" s="1066" t="s">
        <v>190</v>
      </c>
      <c r="J4" s="1095" t="s">
        <v>1078</v>
      </c>
      <c r="K4" s="1072" t="s">
        <v>1079</v>
      </c>
      <c r="L4" s="1066" t="s">
        <v>190</v>
      </c>
      <c r="M4" s="1066" t="s">
        <v>190</v>
      </c>
      <c r="N4" s="1066" t="s">
        <v>190</v>
      </c>
      <c r="O4" s="1142">
        <v>37887</v>
      </c>
      <c r="P4" s="1142">
        <v>44804</v>
      </c>
      <c r="Q4" s="1075" t="s">
        <v>1350</v>
      </c>
      <c r="R4" s="1176">
        <v>21000</v>
      </c>
      <c r="S4" s="1021" t="s">
        <v>237</v>
      </c>
      <c r="T4" s="1066" t="s">
        <v>190</v>
      </c>
      <c r="U4" s="1066" t="s">
        <v>190</v>
      </c>
      <c r="V4" s="1066"/>
      <c r="W4" s="1072" t="s">
        <v>2537</v>
      </c>
      <c r="X4" s="1072" t="s">
        <v>1346</v>
      </c>
      <c r="Y4" s="1072" t="s">
        <v>1266</v>
      </c>
      <c r="Z4" s="1066" t="s">
        <v>190</v>
      </c>
      <c r="AA4" s="1204" t="s">
        <v>190</v>
      </c>
      <c r="AB4" s="1204" t="s">
        <v>190</v>
      </c>
      <c r="AC4" s="1095" t="s">
        <v>2538</v>
      </c>
      <c r="AD4" s="1020" t="s">
        <v>190</v>
      </c>
      <c r="AE4" s="1254">
        <v>21000</v>
      </c>
      <c r="AF4"/>
    </row>
    <row r="5" spans="1:32" s="53" customFormat="1" ht="15.6">
      <c r="A5" s="1060">
        <v>44974</v>
      </c>
      <c r="B5" s="1064" t="s">
        <v>210</v>
      </c>
      <c r="C5" s="1021" t="s">
        <v>190</v>
      </c>
      <c r="D5" s="1021" t="s">
        <v>1034</v>
      </c>
      <c r="E5" s="1020" t="s">
        <v>210</v>
      </c>
      <c r="F5" s="1020" t="s">
        <v>190</v>
      </c>
      <c r="G5" s="1020" t="s">
        <v>190</v>
      </c>
      <c r="H5" s="1066" t="s">
        <v>190</v>
      </c>
      <c r="I5" s="1066" t="s">
        <v>190</v>
      </c>
      <c r="J5" s="1095" t="s">
        <v>1067</v>
      </c>
      <c r="K5" s="1072" t="s">
        <v>2539</v>
      </c>
      <c r="L5" s="1066" t="s">
        <v>190</v>
      </c>
      <c r="M5" s="1066" t="s">
        <v>190</v>
      </c>
      <c r="N5" s="1066" t="s">
        <v>190</v>
      </c>
      <c r="O5" s="1142">
        <v>39873</v>
      </c>
      <c r="P5" s="1142">
        <v>45107</v>
      </c>
      <c r="Q5" s="1075" t="s">
        <v>1350</v>
      </c>
      <c r="R5" s="1176">
        <v>25750</v>
      </c>
      <c r="S5" s="1021" t="s">
        <v>237</v>
      </c>
      <c r="T5" s="1066" t="s">
        <v>190</v>
      </c>
      <c r="U5" s="1066" t="s">
        <v>190</v>
      </c>
      <c r="V5" s="1066"/>
      <c r="W5" s="1072" t="s">
        <v>1036</v>
      </c>
      <c r="X5" s="1072" t="s">
        <v>1346</v>
      </c>
      <c r="Y5" s="1072" t="s">
        <v>1266</v>
      </c>
      <c r="Z5" s="1066" t="s">
        <v>190</v>
      </c>
      <c r="AA5" s="1204" t="s">
        <v>190</v>
      </c>
      <c r="AB5" s="1204" t="s">
        <v>190</v>
      </c>
      <c r="AC5" s="1095" t="s">
        <v>2540</v>
      </c>
      <c r="AD5" s="1020" t="s">
        <v>190</v>
      </c>
      <c r="AE5" s="1193">
        <v>25750</v>
      </c>
      <c r="AF5"/>
    </row>
    <row r="6" spans="1:32" s="53" customFormat="1" ht="102" customHeight="1">
      <c r="A6" s="1060">
        <v>44974</v>
      </c>
      <c r="B6" s="1064" t="s">
        <v>210</v>
      </c>
      <c r="C6" s="1021">
        <v>34299</v>
      </c>
      <c r="D6" s="1021" t="s">
        <v>1150</v>
      </c>
      <c r="E6" s="1020" t="s">
        <v>210</v>
      </c>
      <c r="F6" s="1020" t="s">
        <v>190</v>
      </c>
      <c r="G6" s="1020" t="s">
        <v>190</v>
      </c>
      <c r="H6" s="1066" t="s">
        <v>190</v>
      </c>
      <c r="I6" s="1066" t="s">
        <v>190</v>
      </c>
      <c r="J6" s="1095" t="s">
        <v>1155</v>
      </c>
      <c r="K6" s="1072" t="s">
        <v>1152</v>
      </c>
      <c r="L6" s="1066" t="s">
        <v>190</v>
      </c>
      <c r="M6" s="1066" t="s">
        <v>190</v>
      </c>
      <c r="N6" s="1066" t="s">
        <v>190</v>
      </c>
      <c r="O6" s="1142">
        <v>39995</v>
      </c>
      <c r="P6" s="1142">
        <v>45069</v>
      </c>
      <c r="Q6" s="1075" t="s">
        <v>2541</v>
      </c>
      <c r="R6" s="1072" t="s">
        <v>1057</v>
      </c>
      <c r="S6" s="1072" t="s">
        <v>237</v>
      </c>
      <c r="T6" s="1066" t="s">
        <v>190</v>
      </c>
      <c r="U6" s="1066" t="s">
        <v>190</v>
      </c>
      <c r="V6" s="1066"/>
      <c r="W6" s="1072" t="s">
        <v>2542</v>
      </c>
      <c r="X6" s="1072" t="s">
        <v>1346</v>
      </c>
      <c r="Y6" s="1072" t="s">
        <v>1266</v>
      </c>
      <c r="Z6" s="1066" t="s">
        <v>190</v>
      </c>
      <c r="AA6" s="1204" t="s">
        <v>190</v>
      </c>
      <c r="AB6" s="1204" t="s">
        <v>190</v>
      </c>
      <c r="AC6" s="1095" t="s">
        <v>1157</v>
      </c>
      <c r="AD6" s="1020" t="s">
        <v>190</v>
      </c>
      <c r="AE6" s="1075" t="s">
        <v>1057</v>
      </c>
      <c r="AF6"/>
    </row>
    <row r="7" spans="1:32" s="53" customFormat="1" ht="15.6">
      <c r="A7" s="1060">
        <v>44974</v>
      </c>
      <c r="B7" s="1064" t="s">
        <v>210</v>
      </c>
      <c r="C7" s="1021">
        <v>37362</v>
      </c>
      <c r="D7" s="1021" t="s">
        <v>1034</v>
      </c>
      <c r="E7" s="1020" t="s">
        <v>210</v>
      </c>
      <c r="F7" s="1020" t="s">
        <v>190</v>
      </c>
      <c r="G7" s="1020" t="s">
        <v>190</v>
      </c>
      <c r="H7" s="1066" t="s">
        <v>190</v>
      </c>
      <c r="I7" s="1066" t="s">
        <v>190</v>
      </c>
      <c r="J7" s="1095" t="s">
        <v>2543</v>
      </c>
      <c r="K7" s="1072" t="s">
        <v>2539</v>
      </c>
      <c r="L7" s="1066" t="s">
        <v>190</v>
      </c>
      <c r="M7" s="1066" t="s">
        <v>190</v>
      </c>
      <c r="N7" s="1066" t="s">
        <v>190</v>
      </c>
      <c r="O7" s="1142">
        <v>41169</v>
      </c>
      <c r="P7" s="1142">
        <v>45186</v>
      </c>
      <c r="Q7" s="1072" t="s">
        <v>1350</v>
      </c>
      <c r="R7" s="1176">
        <v>9845</v>
      </c>
      <c r="S7" s="1072" t="s">
        <v>237</v>
      </c>
      <c r="T7" s="1066" t="s">
        <v>190</v>
      </c>
      <c r="U7" s="1066" t="s">
        <v>190</v>
      </c>
      <c r="V7" s="1066"/>
      <c r="W7" s="1072" t="s">
        <v>1036</v>
      </c>
      <c r="X7" s="1072" t="s">
        <v>1346</v>
      </c>
      <c r="Y7" s="1072" t="s">
        <v>1266</v>
      </c>
      <c r="Z7" s="1066" t="s">
        <v>190</v>
      </c>
      <c r="AA7" s="1204" t="s">
        <v>190</v>
      </c>
      <c r="AB7" s="1204" t="s">
        <v>190</v>
      </c>
      <c r="AC7" s="1095" t="s">
        <v>2544</v>
      </c>
      <c r="AD7" s="1020" t="s">
        <v>190</v>
      </c>
      <c r="AE7" s="1254">
        <v>9845</v>
      </c>
      <c r="AF7"/>
    </row>
    <row r="8" spans="1:32" s="53" customFormat="1" ht="15.6">
      <c r="A8" s="1060">
        <v>44974</v>
      </c>
      <c r="B8" s="1064" t="s">
        <v>210</v>
      </c>
      <c r="C8" s="1021" t="s">
        <v>2545</v>
      </c>
      <c r="D8" s="1021" t="s">
        <v>1150</v>
      </c>
      <c r="E8" s="1020" t="s">
        <v>210</v>
      </c>
      <c r="F8" s="1020" t="s">
        <v>190</v>
      </c>
      <c r="G8" s="1020" t="s">
        <v>190</v>
      </c>
      <c r="H8" s="1066" t="s">
        <v>190</v>
      </c>
      <c r="I8" s="1066" t="s">
        <v>190</v>
      </c>
      <c r="J8" s="1095" t="s">
        <v>2546</v>
      </c>
      <c r="K8" s="1072" t="s">
        <v>2547</v>
      </c>
      <c r="L8" s="1066" t="s">
        <v>190</v>
      </c>
      <c r="M8" s="1066" t="s">
        <v>190</v>
      </c>
      <c r="N8" s="1066" t="s">
        <v>190</v>
      </c>
      <c r="O8" s="1142">
        <v>41365</v>
      </c>
      <c r="P8" s="1142">
        <v>44651</v>
      </c>
      <c r="Q8" s="1072" t="s">
        <v>43</v>
      </c>
      <c r="R8" s="1176">
        <v>44000</v>
      </c>
      <c r="S8" s="1072" t="s">
        <v>237</v>
      </c>
      <c r="T8" s="1066" t="s">
        <v>190</v>
      </c>
      <c r="U8" s="1066" t="s">
        <v>190</v>
      </c>
      <c r="V8" s="1066"/>
      <c r="W8" s="1072" t="s">
        <v>2548</v>
      </c>
      <c r="X8" s="1072" t="s">
        <v>1346</v>
      </c>
      <c r="Y8" s="1072" t="s">
        <v>1266</v>
      </c>
      <c r="Z8" s="1066" t="s">
        <v>190</v>
      </c>
      <c r="AA8" s="1204" t="s">
        <v>190</v>
      </c>
      <c r="AB8" s="1204" t="s">
        <v>190</v>
      </c>
      <c r="AC8" s="1095" t="s">
        <v>2549</v>
      </c>
      <c r="AD8" s="1020" t="s">
        <v>190</v>
      </c>
      <c r="AE8" s="1254">
        <v>44000</v>
      </c>
      <c r="AF8"/>
    </row>
    <row r="9" spans="1:32" ht="15.6">
      <c r="A9" s="1060">
        <v>44974</v>
      </c>
      <c r="B9" s="1064" t="s">
        <v>210</v>
      </c>
      <c r="C9" s="1021">
        <v>30198</v>
      </c>
      <c r="D9" s="1021" t="s">
        <v>1034</v>
      </c>
      <c r="E9" s="1020" t="s">
        <v>210</v>
      </c>
      <c r="F9" s="1020" t="s">
        <v>190</v>
      </c>
      <c r="G9" s="1020" t="s">
        <v>190</v>
      </c>
      <c r="H9" s="1066" t="s">
        <v>190</v>
      </c>
      <c r="I9" s="1066" t="s">
        <v>190</v>
      </c>
      <c r="J9" s="1095" t="s">
        <v>1105</v>
      </c>
      <c r="K9" s="1072" t="s">
        <v>1069</v>
      </c>
      <c r="L9" s="1066" t="s">
        <v>190</v>
      </c>
      <c r="M9" s="1066" t="s">
        <v>190</v>
      </c>
      <c r="N9" s="1066" t="s">
        <v>190</v>
      </c>
      <c r="O9" s="1142">
        <v>41376</v>
      </c>
      <c r="P9" s="1142">
        <v>45027</v>
      </c>
      <c r="Q9" s="1075" t="s">
        <v>1350</v>
      </c>
      <c r="R9" s="1176">
        <v>25790</v>
      </c>
      <c r="S9" s="1021" t="s">
        <v>237</v>
      </c>
      <c r="T9" s="1066" t="s">
        <v>190</v>
      </c>
      <c r="U9" s="1066" t="s">
        <v>190</v>
      </c>
      <c r="V9" s="1066"/>
      <c r="W9" s="1072" t="s">
        <v>1036</v>
      </c>
      <c r="X9" s="1072" t="s">
        <v>1346</v>
      </c>
      <c r="Y9" s="1072" t="s">
        <v>1266</v>
      </c>
      <c r="Z9" s="1066" t="s">
        <v>190</v>
      </c>
      <c r="AA9" s="1204" t="s">
        <v>190</v>
      </c>
      <c r="AB9" s="1204" t="s">
        <v>190</v>
      </c>
      <c r="AC9" s="1095" t="s">
        <v>2550</v>
      </c>
      <c r="AD9" s="1020" t="s">
        <v>190</v>
      </c>
      <c r="AE9" s="1254">
        <v>25790</v>
      </c>
    </row>
    <row r="10" spans="1:32" s="34" customFormat="1" ht="41.4">
      <c r="A10" s="885"/>
      <c r="B10" s="714" t="s">
        <v>48</v>
      </c>
      <c r="C10" s="713"/>
      <c r="D10" s="727" t="s">
        <v>29</v>
      </c>
      <c r="E10" s="727"/>
      <c r="F10" s="727"/>
      <c r="G10" s="727"/>
      <c r="H10" s="521" t="s">
        <v>49</v>
      </c>
      <c r="I10" s="522" t="s">
        <v>64</v>
      </c>
      <c r="J10" s="1023" t="s">
        <v>1527</v>
      </c>
      <c r="K10" s="522"/>
      <c r="L10" s="523" t="s">
        <v>100</v>
      </c>
      <c r="M10" s="523"/>
      <c r="N10" s="523"/>
      <c r="O10" s="523">
        <v>41454</v>
      </c>
      <c r="P10" s="524">
        <v>48</v>
      </c>
      <c r="Q10" s="769" t="s">
        <v>1528</v>
      </c>
      <c r="R10" s="525"/>
      <c r="S10" s="526"/>
      <c r="T10" s="527"/>
      <c r="U10" s="527"/>
      <c r="V10" s="527"/>
      <c r="W10" s="528"/>
      <c r="X10" s="114"/>
      <c r="Y10" s="114"/>
      <c r="Z10" s="114"/>
      <c r="AA10" s="180"/>
      <c r="AB10" s="180"/>
      <c r="AC10" s="114"/>
      <c r="AD10" s="303"/>
      <c r="AE10" s="180"/>
      <c r="AF10" s="1"/>
    </row>
    <row r="11" spans="1:32" ht="41.4">
      <c r="A11" s="885"/>
      <c r="B11" s="714" t="s">
        <v>48</v>
      </c>
      <c r="C11" s="713"/>
      <c r="D11" s="727" t="s">
        <v>29</v>
      </c>
      <c r="E11" s="727"/>
      <c r="F11" s="727"/>
      <c r="G11" s="727"/>
      <c r="H11" s="521" t="s">
        <v>49</v>
      </c>
      <c r="I11" s="522" t="s">
        <v>64</v>
      </c>
      <c r="J11" s="1023" t="s">
        <v>156</v>
      </c>
      <c r="K11" s="522"/>
      <c r="L11" s="523" t="s">
        <v>100</v>
      </c>
      <c r="M11" s="523"/>
      <c r="N11" s="523"/>
      <c r="O11" s="523">
        <v>41454</v>
      </c>
      <c r="P11" s="524">
        <v>48</v>
      </c>
      <c r="Q11" s="769" t="s">
        <v>1528</v>
      </c>
      <c r="R11" s="525"/>
      <c r="S11" s="790"/>
      <c r="T11" s="527"/>
      <c r="U11" s="527"/>
      <c r="V11" s="527"/>
      <c r="W11" s="528"/>
      <c r="X11" s="114"/>
      <c r="Y11" s="114"/>
      <c r="Z11" s="114"/>
      <c r="AA11" s="180"/>
      <c r="AB11" s="180"/>
      <c r="AC11" s="114"/>
      <c r="AD11" s="303"/>
      <c r="AE11" s="180"/>
      <c r="AF11" s="1"/>
    </row>
    <row r="12" spans="1:32" ht="41.4">
      <c r="A12" s="885"/>
      <c r="B12" s="714" t="s">
        <v>48</v>
      </c>
      <c r="C12" s="713"/>
      <c r="D12" s="727" t="s">
        <v>29</v>
      </c>
      <c r="E12" s="727"/>
      <c r="F12" s="727"/>
      <c r="G12" s="727"/>
      <c r="H12" s="521" t="s">
        <v>49</v>
      </c>
      <c r="I12" s="522" t="s">
        <v>64</v>
      </c>
      <c r="J12" s="1023" t="s">
        <v>1520</v>
      </c>
      <c r="K12" s="522"/>
      <c r="L12" s="523" t="s">
        <v>100</v>
      </c>
      <c r="M12" s="523"/>
      <c r="N12" s="523"/>
      <c r="O12" s="523">
        <v>41455</v>
      </c>
      <c r="P12" s="524">
        <v>48</v>
      </c>
      <c r="Q12" s="769" t="s">
        <v>298</v>
      </c>
      <c r="R12" s="525"/>
      <c r="S12" s="790"/>
      <c r="T12" s="527"/>
      <c r="U12" s="527"/>
      <c r="V12" s="527"/>
      <c r="W12" s="528"/>
      <c r="X12" s="114"/>
      <c r="Y12" s="114"/>
      <c r="Z12" s="114"/>
      <c r="AA12" s="180"/>
      <c r="AB12" s="180"/>
      <c r="AC12" s="114"/>
      <c r="AD12" s="303"/>
      <c r="AE12" s="180"/>
      <c r="AF12" s="53"/>
    </row>
    <row r="13" spans="1:32" s="53" customFormat="1" ht="15.6">
      <c r="A13" s="1060">
        <v>44974</v>
      </c>
      <c r="B13" s="1064" t="s">
        <v>210</v>
      </c>
      <c r="C13" s="1021">
        <v>30201</v>
      </c>
      <c r="D13" s="1021" t="s">
        <v>1034</v>
      </c>
      <c r="E13" s="1020" t="s">
        <v>210</v>
      </c>
      <c r="F13" s="1020" t="s">
        <v>190</v>
      </c>
      <c r="G13" s="1020" t="s">
        <v>190</v>
      </c>
      <c r="H13" s="1066" t="s">
        <v>190</v>
      </c>
      <c r="I13" s="1066" t="s">
        <v>190</v>
      </c>
      <c r="J13" s="1095" t="s">
        <v>1198</v>
      </c>
      <c r="K13" s="1072" t="s">
        <v>1068</v>
      </c>
      <c r="L13" s="1066" t="s">
        <v>190</v>
      </c>
      <c r="M13" s="1066" t="s">
        <v>190</v>
      </c>
      <c r="N13" s="1066" t="s">
        <v>190</v>
      </c>
      <c r="O13" s="1142">
        <v>41674</v>
      </c>
      <c r="P13" s="1142">
        <v>45021</v>
      </c>
      <c r="Q13" s="1075" t="s">
        <v>2541</v>
      </c>
      <c r="R13" s="1176">
        <v>13680</v>
      </c>
      <c r="S13" s="1021" t="s">
        <v>237</v>
      </c>
      <c r="T13" s="1066" t="s">
        <v>190</v>
      </c>
      <c r="U13" s="1066" t="s">
        <v>190</v>
      </c>
      <c r="V13" s="1066"/>
      <c r="W13" s="1072" t="s">
        <v>1036</v>
      </c>
      <c r="X13" s="1072" t="s">
        <v>1346</v>
      </c>
      <c r="Y13" s="1072" t="s">
        <v>1266</v>
      </c>
      <c r="Z13" s="1066" t="s">
        <v>190</v>
      </c>
      <c r="AA13" s="1204" t="s">
        <v>190</v>
      </c>
      <c r="AB13" s="1204" t="s">
        <v>190</v>
      </c>
      <c r="AC13" s="1095" t="s">
        <v>2551</v>
      </c>
      <c r="AD13" s="1020" t="s">
        <v>190</v>
      </c>
      <c r="AE13" s="1254">
        <v>13680</v>
      </c>
      <c r="AF13"/>
    </row>
    <row r="14" spans="1:32" s="950" customFormat="1" ht="27" customHeight="1">
      <c r="A14" s="1019">
        <v>44974</v>
      </c>
      <c r="B14" s="1065" t="s">
        <v>210</v>
      </c>
      <c r="C14" s="1072">
        <v>30189</v>
      </c>
      <c r="D14" s="1021" t="s">
        <v>1034</v>
      </c>
      <c r="E14" s="1020" t="s">
        <v>210</v>
      </c>
      <c r="F14" s="1020" t="s">
        <v>190</v>
      </c>
      <c r="G14" s="1020" t="s">
        <v>190</v>
      </c>
      <c r="H14" s="1066" t="s">
        <v>190</v>
      </c>
      <c r="I14" s="1066" t="s">
        <v>190</v>
      </c>
      <c r="J14" s="1095" t="s">
        <v>1071</v>
      </c>
      <c r="K14" s="1072" t="s">
        <v>1072</v>
      </c>
      <c r="L14" s="1066" t="s">
        <v>190</v>
      </c>
      <c r="M14" s="1066" t="s">
        <v>190</v>
      </c>
      <c r="N14" s="1066" t="s">
        <v>190</v>
      </c>
      <c r="O14" s="1142">
        <v>41730</v>
      </c>
      <c r="P14" s="1153">
        <v>45016</v>
      </c>
      <c r="Q14" s="1079" t="s">
        <v>1350</v>
      </c>
      <c r="R14" s="1177">
        <v>120000</v>
      </c>
      <c r="S14" s="1021" t="s">
        <v>237</v>
      </c>
      <c r="T14" s="1066" t="s">
        <v>190</v>
      </c>
      <c r="U14" s="1066" t="s">
        <v>190</v>
      </c>
      <c r="V14" s="1066"/>
      <c r="W14" s="1072" t="s">
        <v>1036</v>
      </c>
      <c r="X14" s="1072" t="s">
        <v>1346</v>
      </c>
      <c r="Y14" s="1072" t="s">
        <v>1266</v>
      </c>
      <c r="Z14" s="1066" t="s">
        <v>190</v>
      </c>
      <c r="AA14" s="1066" t="s">
        <v>190</v>
      </c>
      <c r="AB14" s="1066" t="s">
        <v>190</v>
      </c>
      <c r="AC14" s="1318" t="s">
        <v>2552</v>
      </c>
      <c r="AD14" s="1064" t="s">
        <v>190</v>
      </c>
      <c r="AE14" s="1255">
        <v>120000</v>
      </c>
      <c r="AF14"/>
    </row>
    <row r="15" spans="1:32" ht="15.6">
      <c r="A15" s="1060">
        <v>44974</v>
      </c>
      <c r="B15" s="1064" t="s">
        <v>210</v>
      </c>
      <c r="C15" s="1021">
        <v>28788</v>
      </c>
      <c r="D15" s="1021" t="s">
        <v>1034</v>
      </c>
      <c r="E15" s="1020" t="s">
        <v>210</v>
      </c>
      <c r="F15" s="1020" t="s">
        <v>190</v>
      </c>
      <c r="G15" s="1020" t="s">
        <v>190</v>
      </c>
      <c r="H15" s="1066" t="s">
        <v>190</v>
      </c>
      <c r="I15" s="1066" t="s">
        <v>190</v>
      </c>
      <c r="J15" s="1095" t="s">
        <v>1070</v>
      </c>
      <c r="K15" s="1072" t="s">
        <v>88</v>
      </c>
      <c r="L15" s="1066" t="s">
        <v>190</v>
      </c>
      <c r="M15" s="1066" t="s">
        <v>190</v>
      </c>
      <c r="N15" s="1066" t="s">
        <v>190</v>
      </c>
      <c r="O15" s="1142">
        <v>41852</v>
      </c>
      <c r="P15" s="1142">
        <v>45138</v>
      </c>
      <c r="Q15" s="1075" t="s">
        <v>2541</v>
      </c>
      <c r="R15" s="1176">
        <v>72000</v>
      </c>
      <c r="S15" s="1021" t="s">
        <v>237</v>
      </c>
      <c r="T15" s="1066" t="s">
        <v>190</v>
      </c>
      <c r="U15" s="1066" t="s">
        <v>190</v>
      </c>
      <c r="V15" s="1066"/>
      <c r="W15" s="1072" t="s">
        <v>1036</v>
      </c>
      <c r="X15" s="1072" t="s">
        <v>1346</v>
      </c>
      <c r="Y15" s="1072" t="s">
        <v>1266</v>
      </c>
      <c r="Z15" s="1066" t="s">
        <v>190</v>
      </c>
      <c r="AA15" s="1204" t="s">
        <v>190</v>
      </c>
      <c r="AB15" s="1204" t="s">
        <v>190</v>
      </c>
      <c r="AC15" s="1095" t="s">
        <v>2553</v>
      </c>
      <c r="AD15" s="1020" t="s">
        <v>190</v>
      </c>
      <c r="AE15" s="1254">
        <v>72000</v>
      </c>
    </row>
    <row r="16" spans="1:32" s="53" customFormat="1" ht="41.4">
      <c r="A16" s="885"/>
      <c r="B16" s="714" t="s">
        <v>48</v>
      </c>
      <c r="C16" s="713"/>
      <c r="D16" s="727" t="s">
        <v>29</v>
      </c>
      <c r="E16" s="727"/>
      <c r="F16" s="727"/>
      <c r="G16" s="727"/>
      <c r="H16" s="521" t="s">
        <v>49</v>
      </c>
      <c r="I16" s="522" t="s">
        <v>64</v>
      </c>
      <c r="J16" s="1023" t="s">
        <v>1518</v>
      </c>
      <c r="K16" s="522"/>
      <c r="L16" s="523" t="s">
        <v>100</v>
      </c>
      <c r="M16" s="523"/>
      <c r="N16" s="523"/>
      <c r="O16" s="523">
        <v>42014</v>
      </c>
      <c r="P16" s="524">
        <v>48</v>
      </c>
      <c r="Q16" s="769" t="s">
        <v>298</v>
      </c>
      <c r="R16" s="525"/>
      <c r="S16" s="790"/>
      <c r="T16" s="527"/>
      <c r="U16" s="527"/>
      <c r="V16" s="527"/>
      <c r="W16" s="528"/>
      <c r="X16" s="114"/>
      <c r="Y16" s="114"/>
      <c r="Z16" s="114"/>
      <c r="AA16" s="180"/>
      <c r="AB16" s="180"/>
      <c r="AC16" s="114"/>
      <c r="AD16" s="303"/>
      <c r="AE16" s="180"/>
    </row>
    <row r="17" spans="1:32" ht="157.5" customHeight="1">
      <c r="A17" s="885"/>
      <c r="B17" s="714" t="s">
        <v>48</v>
      </c>
      <c r="C17" s="713"/>
      <c r="D17" s="727" t="s">
        <v>29</v>
      </c>
      <c r="E17" s="727"/>
      <c r="F17" s="727"/>
      <c r="G17" s="727"/>
      <c r="H17" s="521" t="s">
        <v>49</v>
      </c>
      <c r="I17" s="522" t="s">
        <v>64</v>
      </c>
      <c r="J17" s="1023" t="s">
        <v>1525</v>
      </c>
      <c r="K17" s="522"/>
      <c r="L17" s="523" t="s">
        <v>100</v>
      </c>
      <c r="M17" s="523"/>
      <c r="N17" s="523"/>
      <c r="O17" s="523">
        <v>42045</v>
      </c>
      <c r="P17" s="524">
        <v>48</v>
      </c>
      <c r="Q17" s="769" t="s">
        <v>298</v>
      </c>
      <c r="R17" s="525"/>
      <c r="S17" s="790"/>
      <c r="T17" s="527"/>
      <c r="U17" s="527"/>
      <c r="V17" s="527"/>
      <c r="W17" s="528"/>
      <c r="X17" s="114"/>
      <c r="Y17" s="114"/>
      <c r="Z17" s="114"/>
      <c r="AA17" s="180"/>
      <c r="AB17" s="180"/>
      <c r="AC17" s="114"/>
      <c r="AD17" s="303"/>
      <c r="AE17" s="180"/>
      <c r="AF17" s="53"/>
    </row>
    <row r="18" spans="1:32" ht="364.5" customHeight="1">
      <c r="A18" s="885"/>
      <c r="B18" s="714" t="s">
        <v>48</v>
      </c>
      <c r="C18" s="713" t="s">
        <v>100</v>
      </c>
      <c r="D18" s="727" t="s">
        <v>29</v>
      </c>
      <c r="E18" s="727"/>
      <c r="F18" s="727"/>
      <c r="G18" s="727"/>
      <c r="H18" s="521" t="s">
        <v>49</v>
      </c>
      <c r="I18" s="522" t="s">
        <v>64</v>
      </c>
      <c r="J18" s="1023" t="s">
        <v>1522</v>
      </c>
      <c r="K18" s="522"/>
      <c r="L18" s="523" t="s">
        <v>100</v>
      </c>
      <c r="M18" s="523"/>
      <c r="N18" s="523"/>
      <c r="O18" s="523">
        <v>42095</v>
      </c>
      <c r="P18" s="524">
        <v>36</v>
      </c>
      <c r="Q18" s="769" t="s">
        <v>318</v>
      </c>
      <c r="R18" s="525"/>
      <c r="S18" s="527" t="s">
        <v>1523</v>
      </c>
      <c r="T18" s="527" t="s">
        <v>54</v>
      </c>
      <c r="U18" s="527"/>
      <c r="V18" s="527"/>
      <c r="W18" s="528" t="s">
        <v>1524</v>
      </c>
      <c r="X18" s="114"/>
      <c r="Y18" s="114"/>
      <c r="Z18" s="114"/>
      <c r="AA18" s="180"/>
      <c r="AB18" s="180"/>
      <c r="AC18" s="114"/>
      <c r="AD18" s="303"/>
      <c r="AE18" s="180"/>
      <c r="AF18" s="53"/>
    </row>
    <row r="19" spans="1:32" s="1" customFormat="1" ht="15.6">
      <c r="A19" s="1060">
        <v>44974</v>
      </c>
      <c r="B19" s="1064" t="s">
        <v>210</v>
      </c>
      <c r="C19" s="1021">
        <v>30165</v>
      </c>
      <c r="D19" s="1021" t="s">
        <v>319</v>
      </c>
      <c r="E19" s="1020" t="s">
        <v>210</v>
      </c>
      <c r="F19" s="1020" t="s">
        <v>190</v>
      </c>
      <c r="G19" s="1020" t="s">
        <v>190</v>
      </c>
      <c r="H19" s="1066" t="s">
        <v>190</v>
      </c>
      <c r="I19" s="1066" t="s">
        <v>190</v>
      </c>
      <c r="J19" s="1095" t="s">
        <v>466</v>
      </c>
      <c r="K19" s="1072" t="s">
        <v>197</v>
      </c>
      <c r="L19" s="1066" t="s">
        <v>190</v>
      </c>
      <c r="M19" s="1066" t="s">
        <v>190</v>
      </c>
      <c r="N19" s="1066" t="s">
        <v>190</v>
      </c>
      <c r="O19" s="1142">
        <v>42095</v>
      </c>
      <c r="P19" s="1142">
        <v>45016</v>
      </c>
      <c r="Q19" s="1075" t="s">
        <v>2554</v>
      </c>
      <c r="R19" s="1176">
        <v>200000</v>
      </c>
      <c r="S19" s="1021" t="s">
        <v>205</v>
      </c>
      <c r="T19" s="1066" t="s">
        <v>190</v>
      </c>
      <c r="U19" s="1066" t="s">
        <v>190</v>
      </c>
      <c r="V19" s="1066"/>
      <c r="W19" s="1072" t="s">
        <v>2555</v>
      </c>
      <c r="X19" s="1072" t="s">
        <v>1346</v>
      </c>
      <c r="Y19" s="1072" t="s">
        <v>1266</v>
      </c>
      <c r="Z19" s="1066" t="s">
        <v>190</v>
      </c>
      <c r="AA19" s="1204" t="s">
        <v>190</v>
      </c>
      <c r="AB19" s="1204" t="s">
        <v>190</v>
      </c>
      <c r="AC19" s="1095" t="s">
        <v>2556</v>
      </c>
      <c r="AD19" s="1020" t="s">
        <v>190</v>
      </c>
      <c r="AE19" s="1254">
        <v>200000</v>
      </c>
      <c r="AF19"/>
    </row>
    <row r="20" spans="1:32" s="1" customFormat="1" ht="45" customHeight="1">
      <c r="A20" s="885"/>
      <c r="B20" s="714" t="s">
        <v>48</v>
      </c>
      <c r="C20" s="713"/>
      <c r="D20" s="727" t="s">
        <v>29</v>
      </c>
      <c r="E20" s="727"/>
      <c r="F20" s="727"/>
      <c r="G20" s="727"/>
      <c r="H20" s="521" t="s">
        <v>49</v>
      </c>
      <c r="I20" s="522" t="s">
        <v>64</v>
      </c>
      <c r="J20" s="1023" t="s">
        <v>1526</v>
      </c>
      <c r="K20" s="522"/>
      <c r="L20" s="523" t="s">
        <v>100</v>
      </c>
      <c r="M20" s="523"/>
      <c r="N20" s="523"/>
      <c r="O20" s="523">
        <v>42107</v>
      </c>
      <c r="P20" s="524">
        <v>48</v>
      </c>
      <c r="Q20" s="769" t="s">
        <v>298</v>
      </c>
      <c r="R20" s="525"/>
      <c r="S20" s="790"/>
      <c r="T20" s="527"/>
      <c r="U20" s="527"/>
      <c r="V20" s="527"/>
      <c r="W20" s="528"/>
      <c r="X20" s="114"/>
      <c r="Y20" s="114"/>
      <c r="Z20" s="114"/>
      <c r="AA20" s="180"/>
      <c r="AB20" s="180"/>
      <c r="AC20" s="114"/>
      <c r="AD20" s="303"/>
      <c r="AE20" s="180"/>
      <c r="AF20" s="53"/>
    </row>
    <row r="21" spans="1:32" s="53" customFormat="1" ht="41.4">
      <c r="A21" s="885"/>
      <c r="B21" s="714" t="s">
        <v>48</v>
      </c>
      <c r="C21" s="713"/>
      <c r="D21" s="727" t="s">
        <v>29</v>
      </c>
      <c r="E21" s="727"/>
      <c r="F21" s="727"/>
      <c r="G21" s="727"/>
      <c r="H21" s="521" t="s">
        <v>49</v>
      </c>
      <c r="I21" s="522" t="s">
        <v>64</v>
      </c>
      <c r="J21" s="1023" t="s">
        <v>1519</v>
      </c>
      <c r="K21" s="522"/>
      <c r="L21" s="523" t="s">
        <v>100</v>
      </c>
      <c r="M21" s="523"/>
      <c r="N21" s="523"/>
      <c r="O21" s="523">
        <v>42388</v>
      </c>
      <c r="P21" s="524">
        <v>48</v>
      </c>
      <c r="Q21" s="769" t="s">
        <v>167</v>
      </c>
      <c r="R21" s="525"/>
      <c r="S21" s="790"/>
      <c r="T21" s="527"/>
      <c r="U21" s="527"/>
      <c r="V21" s="527"/>
      <c r="W21" s="528"/>
      <c r="X21" s="114"/>
      <c r="Y21" s="114"/>
      <c r="Z21" s="114"/>
      <c r="AA21" s="180"/>
      <c r="AB21" s="180"/>
      <c r="AC21" s="114"/>
      <c r="AD21" s="303"/>
      <c r="AE21" s="180"/>
      <c r="AF21"/>
    </row>
    <row r="22" spans="1:32" ht="55.2">
      <c r="A22" s="885"/>
      <c r="B22" s="714" t="s">
        <v>48</v>
      </c>
      <c r="C22" s="713"/>
      <c r="D22" s="727" t="s">
        <v>60</v>
      </c>
      <c r="E22" s="727"/>
      <c r="F22" s="727"/>
      <c r="G22" s="727"/>
      <c r="H22" s="521" t="s">
        <v>127</v>
      </c>
      <c r="I22" s="522" t="s">
        <v>34</v>
      </c>
      <c r="J22" s="1023" t="s">
        <v>1515</v>
      </c>
      <c r="K22" s="522"/>
      <c r="L22" s="523" t="s">
        <v>125</v>
      </c>
      <c r="M22" s="523"/>
      <c r="N22" s="523"/>
      <c r="O22" s="523">
        <v>42461</v>
      </c>
      <c r="P22" s="1157">
        <v>1</v>
      </c>
      <c r="Q22" s="1157">
        <v>1</v>
      </c>
      <c r="R22" s="525">
        <v>100000</v>
      </c>
      <c r="S22" s="790" t="s">
        <v>35</v>
      </c>
      <c r="T22" s="527" t="s">
        <v>54</v>
      </c>
      <c r="U22" s="527"/>
      <c r="V22" s="527"/>
      <c r="W22" s="528" t="s">
        <v>1516</v>
      </c>
      <c r="X22" s="114"/>
      <c r="Y22" s="114"/>
      <c r="Z22" s="114"/>
      <c r="AA22" s="180"/>
      <c r="AB22" s="180"/>
      <c r="AC22" s="114"/>
      <c r="AD22" s="303"/>
      <c r="AE22" s="180"/>
      <c r="AF22" s="34"/>
    </row>
    <row r="23" spans="1:32" s="53" customFormat="1" ht="52.8">
      <c r="A23" s="885"/>
      <c r="B23" s="714" t="s">
        <v>48</v>
      </c>
      <c r="C23" s="553" t="s">
        <v>1639</v>
      </c>
      <c r="D23" s="554" t="s">
        <v>60</v>
      </c>
      <c r="E23" s="554"/>
      <c r="F23" s="554"/>
      <c r="G23" s="554"/>
      <c r="H23" s="466" t="s">
        <v>127</v>
      </c>
      <c r="I23" s="474" t="s">
        <v>34</v>
      </c>
      <c r="J23" s="1024" t="s">
        <v>1640</v>
      </c>
      <c r="K23" s="467"/>
      <c r="L23" s="540" t="s">
        <v>1627</v>
      </c>
      <c r="M23" s="540"/>
      <c r="N23" s="540"/>
      <c r="O23" s="540">
        <v>42461</v>
      </c>
      <c r="P23" s="471" t="s">
        <v>298</v>
      </c>
      <c r="Q23" s="471" t="s">
        <v>298</v>
      </c>
      <c r="R23" s="542">
        <v>10800000</v>
      </c>
      <c r="S23" s="478" t="s">
        <v>98</v>
      </c>
      <c r="T23" s="470" t="s">
        <v>41</v>
      </c>
      <c r="U23" s="470"/>
      <c r="V23" s="470"/>
      <c r="W23" s="474" t="s">
        <v>432</v>
      </c>
      <c r="X23" s="114"/>
      <c r="Y23" s="114"/>
      <c r="Z23" s="114"/>
      <c r="AA23" s="180"/>
      <c r="AB23" s="180"/>
      <c r="AC23" s="114"/>
      <c r="AD23" s="303"/>
      <c r="AE23" s="180"/>
      <c r="AF23"/>
    </row>
    <row r="24" spans="1:32" s="1" customFormat="1" ht="52.8">
      <c r="A24" s="885"/>
      <c r="B24" s="714" t="s">
        <v>48</v>
      </c>
      <c r="C24" s="553" t="s">
        <v>1641</v>
      </c>
      <c r="D24" s="554" t="s">
        <v>60</v>
      </c>
      <c r="E24" s="554"/>
      <c r="F24" s="554"/>
      <c r="G24" s="554"/>
      <c r="H24" s="466" t="s">
        <v>127</v>
      </c>
      <c r="I24" s="474" t="s">
        <v>34</v>
      </c>
      <c r="J24" s="1024" t="s">
        <v>1642</v>
      </c>
      <c r="K24" s="467"/>
      <c r="L24" s="540" t="s">
        <v>1627</v>
      </c>
      <c r="M24" s="540"/>
      <c r="N24" s="540"/>
      <c r="O24" s="540">
        <v>42461</v>
      </c>
      <c r="P24" s="471" t="s">
        <v>298</v>
      </c>
      <c r="Q24" s="471" t="s">
        <v>298</v>
      </c>
      <c r="R24" s="542">
        <v>7500000</v>
      </c>
      <c r="S24" s="791" t="s">
        <v>98</v>
      </c>
      <c r="T24" s="470" t="s">
        <v>41</v>
      </c>
      <c r="U24" s="470"/>
      <c r="V24" s="470"/>
      <c r="W24" s="474"/>
      <c r="X24" s="114"/>
      <c r="Y24" s="114"/>
      <c r="Z24" s="114"/>
      <c r="AA24" s="180"/>
      <c r="AB24" s="180"/>
      <c r="AC24" s="114"/>
      <c r="AD24" s="303"/>
      <c r="AE24" s="180"/>
      <c r="AF24"/>
    </row>
    <row r="25" spans="1:32" s="1" customFormat="1" ht="45" customHeight="1">
      <c r="A25" s="885"/>
      <c r="B25" s="714" t="s">
        <v>48</v>
      </c>
      <c r="C25" s="553"/>
      <c r="D25" s="554" t="s">
        <v>60</v>
      </c>
      <c r="E25" s="554"/>
      <c r="F25" s="554"/>
      <c r="G25" s="554"/>
      <c r="H25" s="466" t="s">
        <v>127</v>
      </c>
      <c r="I25" s="474" t="s">
        <v>34</v>
      </c>
      <c r="J25" s="1024" t="s">
        <v>1480</v>
      </c>
      <c r="K25" s="467"/>
      <c r="L25" s="540" t="s">
        <v>1627</v>
      </c>
      <c r="M25" s="540"/>
      <c r="N25" s="540"/>
      <c r="O25" s="540">
        <v>42461</v>
      </c>
      <c r="P25" s="471" t="s">
        <v>298</v>
      </c>
      <c r="Q25" s="761" t="s">
        <v>298</v>
      </c>
      <c r="R25" s="542">
        <v>9000000</v>
      </c>
      <c r="S25" s="791" t="s">
        <v>125</v>
      </c>
      <c r="T25" s="470" t="s">
        <v>41</v>
      </c>
      <c r="U25" s="470"/>
      <c r="V25" s="470"/>
      <c r="W25" s="474" t="s">
        <v>432</v>
      </c>
      <c r="X25" s="114"/>
      <c r="Y25" s="114"/>
      <c r="Z25" s="114"/>
      <c r="AA25" s="180"/>
      <c r="AB25" s="180"/>
      <c r="AC25" s="114"/>
      <c r="AD25" s="303"/>
      <c r="AE25" s="180"/>
      <c r="AF25" s="53"/>
    </row>
    <row r="26" spans="1:32" s="53" customFormat="1" ht="15.6">
      <c r="A26" s="1061">
        <v>44974</v>
      </c>
      <c r="B26" s="1068" t="s">
        <v>210</v>
      </c>
      <c r="C26" s="1072" t="s">
        <v>2557</v>
      </c>
      <c r="D26" s="1021" t="s">
        <v>319</v>
      </c>
      <c r="E26" s="1020" t="s">
        <v>210</v>
      </c>
      <c r="F26" s="1020" t="s">
        <v>190</v>
      </c>
      <c r="G26" s="1020" t="s">
        <v>190</v>
      </c>
      <c r="H26" s="1066" t="s">
        <v>190</v>
      </c>
      <c r="I26" s="1066" t="s">
        <v>190</v>
      </c>
      <c r="J26" s="1095" t="s">
        <v>1145</v>
      </c>
      <c r="K26" s="1072" t="s">
        <v>1159</v>
      </c>
      <c r="L26" s="1066" t="s">
        <v>190</v>
      </c>
      <c r="M26" s="1066" t="s">
        <v>190</v>
      </c>
      <c r="N26" s="1066" t="s">
        <v>190</v>
      </c>
      <c r="O26" s="1142">
        <v>42461</v>
      </c>
      <c r="P26" s="1142">
        <v>44651</v>
      </c>
      <c r="Q26" s="1072" t="s">
        <v>1120</v>
      </c>
      <c r="R26" s="1176">
        <v>60000</v>
      </c>
      <c r="S26" s="1021" t="s">
        <v>2558</v>
      </c>
      <c r="T26" s="1066" t="s">
        <v>190</v>
      </c>
      <c r="U26" s="1066" t="s">
        <v>190</v>
      </c>
      <c r="V26" s="1066"/>
      <c r="W26" s="1072" t="s">
        <v>322</v>
      </c>
      <c r="X26" s="1072" t="s">
        <v>1346</v>
      </c>
      <c r="Y26" s="1072" t="s">
        <v>1266</v>
      </c>
      <c r="Z26" s="1066" t="s">
        <v>190</v>
      </c>
      <c r="AA26" s="1204" t="s">
        <v>190</v>
      </c>
      <c r="AB26" s="1204" t="s">
        <v>190</v>
      </c>
      <c r="AC26" s="1095" t="s">
        <v>2559</v>
      </c>
      <c r="AD26" s="1020" t="s">
        <v>190</v>
      </c>
      <c r="AE26" s="1254">
        <v>60000</v>
      </c>
      <c r="AF26"/>
    </row>
    <row r="27" spans="1:32" ht="52.8">
      <c r="A27" s="852"/>
      <c r="B27" s="712" t="s">
        <v>48</v>
      </c>
      <c r="C27" s="520" t="s">
        <v>43</v>
      </c>
      <c r="D27" s="554" t="s">
        <v>60</v>
      </c>
      <c r="E27" s="554"/>
      <c r="F27" s="554"/>
      <c r="G27" s="554"/>
      <c r="H27" s="466" t="s">
        <v>127</v>
      </c>
      <c r="I27" s="467" t="s">
        <v>64</v>
      </c>
      <c r="J27" s="1023" t="s">
        <v>1631</v>
      </c>
      <c r="K27" s="522"/>
      <c r="L27" s="540">
        <v>43191</v>
      </c>
      <c r="M27" s="540"/>
      <c r="N27" s="540"/>
      <c r="O27" s="540">
        <v>42491</v>
      </c>
      <c r="P27" s="471">
        <v>60</v>
      </c>
      <c r="Q27" s="761" t="s">
        <v>1632</v>
      </c>
      <c r="R27" s="541">
        <v>105000</v>
      </c>
      <c r="S27" s="791" t="s">
        <v>35</v>
      </c>
      <c r="T27" s="470"/>
      <c r="U27" s="470"/>
      <c r="V27" s="470"/>
      <c r="W27" s="466" t="s">
        <v>1633</v>
      </c>
      <c r="X27" s="114"/>
      <c r="Y27" s="114"/>
      <c r="Z27" s="114"/>
      <c r="AA27" s="180"/>
      <c r="AB27" s="180"/>
      <c r="AC27" s="114"/>
      <c r="AD27" s="303"/>
      <c r="AE27" s="180"/>
    </row>
    <row r="28" spans="1:32" ht="52.8">
      <c r="A28" s="852"/>
      <c r="B28" s="712" t="s">
        <v>48</v>
      </c>
      <c r="C28" s="520" t="s">
        <v>43</v>
      </c>
      <c r="D28" s="554" t="s">
        <v>60</v>
      </c>
      <c r="E28" s="554"/>
      <c r="F28" s="554"/>
      <c r="G28" s="554"/>
      <c r="H28" s="466" t="s">
        <v>127</v>
      </c>
      <c r="I28" s="467" t="s">
        <v>64</v>
      </c>
      <c r="J28" s="1023" t="s">
        <v>1634</v>
      </c>
      <c r="K28" s="522"/>
      <c r="L28" s="540">
        <v>43191</v>
      </c>
      <c r="M28" s="540"/>
      <c r="N28" s="540"/>
      <c r="O28" s="540">
        <v>42491</v>
      </c>
      <c r="P28" s="471">
        <v>60</v>
      </c>
      <c r="Q28" s="471" t="s">
        <v>1635</v>
      </c>
      <c r="R28" s="541">
        <v>21000</v>
      </c>
      <c r="S28" s="791" t="s">
        <v>35</v>
      </c>
      <c r="T28" s="470"/>
      <c r="U28" s="470"/>
      <c r="V28" s="470"/>
      <c r="W28" s="466" t="s">
        <v>1633</v>
      </c>
      <c r="X28" s="114"/>
      <c r="Y28" s="114"/>
      <c r="Z28" s="114"/>
      <c r="AA28" s="180"/>
      <c r="AB28" s="180"/>
      <c r="AC28" s="114"/>
      <c r="AD28" s="303"/>
      <c r="AE28" s="180"/>
      <c r="AF28" s="53"/>
    </row>
    <row r="29" spans="1:32" s="53" customFormat="1" ht="57.6">
      <c r="A29" s="889"/>
      <c r="B29" s="1" t="s">
        <v>28</v>
      </c>
      <c r="C29" s="4"/>
      <c r="D29" s="141" t="s">
        <v>60</v>
      </c>
      <c r="E29" s="141"/>
      <c r="F29" s="141"/>
      <c r="G29" s="141"/>
      <c r="H29" s="5" t="s">
        <v>171</v>
      </c>
      <c r="I29" s="8" t="s">
        <v>2560</v>
      </c>
      <c r="J29" s="16" t="s">
        <v>2561</v>
      </c>
      <c r="K29" s="16"/>
      <c r="L29" s="16"/>
      <c r="M29" s="176">
        <v>42535</v>
      </c>
      <c r="N29" s="176"/>
      <c r="O29" s="176">
        <v>42597</v>
      </c>
      <c r="P29" s="12">
        <v>12</v>
      </c>
      <c r="Q29" s="25"/>
      <c r="R29" s="75" t="s">
        <v>2562</v>
      </c>
      <c r="S29" s="5" t="s">
        <v>2563</v>
      </c>
      <c r="T29" s="12" t="s">
        <v>1218</v>
      </c>
      <c r="U29" s="4"/>
      <c r="V29" s="4"/>
      <c r="W29" s="5" t="s">
        <v>2564</v>
      </c>
      <c r="X29" s="12"/>
      <c r="Y29" s="5" t="s">
        <v>457</v>
      </c>
      <c r="Z29" s="5"/>
      <c r="AA29" s="26"/>
      <c r="AB29" s="28"/>
      <c r="AC29" s="8" t="s">
        <v>2565</v>
      </c>
      <c r="AD29" s="141"/>
      <c r="AE29" s="27"/>
      <c r="AF29"/>
    </row>
    <row r="30" spans="1:32" s="53" customFormat="1" ht="72">
      <c r="A30" s="889"/>
      <c r="B30" s="1" t="s">
        <v>28</v>
      </c>
      <c r="C30" s="4"/>
      <c r="D30" s="141" t="s">
        <v>60</v>
      </c>
      <c r="E30" s="141"/>
      <c r="F30" s="141"/>
      <c r="G30" s="141"/>
      <c r="H30" s="5" t="s">
        <v>171</v>
      </c>
      <c r="I30" s="8" t="s">
        <v>34</v>
      </c>
      <c r="J30" s="16" t="s">
        <v>2566</v>
      </c>
      <c r="K30" s="16"/>
      <c r="L30" s="16"/>
      <c r="M30" s="176">
        <v>42496</v>
      </c>
      <c r="N30" s="176"/>
      <c r="O30" s="176">
        <v>42614</v>
      </c>
      <c r="P30" s="12">
        <v>1</v>
      </c>
      <c r="Q30" s="25" t="s">
        <v>2274</v>
      </c>
      <c r="R30" s="75">
        <v>6000</v>
      </c>
      <c r="S30" s="30" t="s">
        <v>2567</v>
      </c>
      <c r="T30" s="12" t="s">
        <v>54</v>
      </c>
      <c r="U30" s="4"/>
      <c r="V30" s="4"/>
      <c r="W30" s="5" t="s">
        <v>2568</v>
      </c>
      <c r="X30" s="12"/>
      <c r="Y30" s="5" t="s">
        <v>457</v>
      </c>
      <c r="Z30" s="5"/>
      <c r="AA30" s="26"/>
      <c r="AB30" s="28"/>
      <c r="AC30" s="8" t="s">
        <v>2569</v>
      </c>
      <c r="AD30" s="141"/>
      <c r="AE30" s="27"/>
      <c r="AF30"/>
    </row>
    <row r="31" spans="1:32" s="53" customFormat="1" ht="41.4">
      <c r="A31" s="852"/>
      <c r="B31" s="712" t="s">
        <v>48</v>
      </c>
      <c r="C31" s="520"/>
      <c r="D31" s="727" t="s">
        <v>29</v>
      </c>
      <c r="E31" s="727"/>
      <c r="F31" s="727"/>
      <c r="G31" s="727"/>
      <c r="H31" s="521" t="s">
        <v>49</v>
      </c>
      <c r="I31" s="522" t="s">
        <v>64</v>
      </c>
      <c r="J31" s="1023" t="s">
        <v>1521</v>
      </c>
      <c r="K31" s="522"/>
      <c r="L31" s="523" t="s">
        <v>100</v>
      </c>
      <c r="M31" s="523"/>
      <c r="N31" s="523"/>
      <c r="O31" s="523">
        <v>42675</v>
      </c>
      <c r="P31" s="524"/>
      <c r="Q31" s="769"/>
      <c r="R31" s="525"/>
      <c r="S31" s="790"/>
      <c r="T31" s="527"/>
      <c r="U31" s="527"/>
      <c r="V31" s="527"/>
      <c r="W31" s="528"/>
      <c r="X31" s="114"/>
      <c r="Y31" s="114"/>
      <c r="Z31" s="114"/>
      <c r="AA31" s="180"/>
      <c r="AB31" s="180"/>
      <c r="AC31" s="114"/>
      <c r="AD31" s="303"/>
      <c r="AE31" s="180"/>
      <c r="AF31" s="1"/>
    </row>
    <row r="32" spans="1:32" s="53" customFormat="1" ht="86.4">
      <c r="A32" s="852"/>
      <c r="B32" s="1" t="s">
        <v>28</v>
      </c>
      <c r="C32" s="4"/>
      <c r="D32" s="141" t="s">
        <v>29</v>
      </c>
      <c r="E32" s="141"/>
      <c r="F32" s="141"/>
      <c r="G32" s="141"/>
      <c r="H32" s="5" t="s">
        <v>70</v>
      </c>
      <c r="I32" s="8" t="s">
        <v>34</v>
      </c>
      <c r="J32" s="16" t="s">
        <v>2570</v>
      </c>
      <c r="K32" s="16"/>
      <c r="L32" s="16"/>
      <c r="M32" s="14">
        <v>42614</v>
      </c>
      <c r="N32" s="14"/>
      <c r="O32" s="14">
        <v>42736</v>
      </c>
      <c r="P32" s="12">
        <v>48</v>
      </c>
      <c r="Q32" s="5" t="s">
        <v>1062</v>
      </c>
      <c r="R32" s="76">
        <v>69000</v>
      </c>
      <c r="S32" s="30" t="s">
        <v>237</v>
      </c>
      <c r="T32" s="14" t="s">
        <v>54</v>
      </c>
      <c r="U32" s="4"/>
      <c r="V32" s="4"/>
      <c r="W32" s="5" t="s">
        <v>2571</v>
      </c>
      <c r="X32" s="5" t="s">
        <v>352</v>
      </c>
      <c r="Y32" s="5" t="s">
        <v>457</v>
      </c>
      <c r="Z32" s="5"/>
      <c r="AA32" s="26"/>
      <c r="AB32" s="28"/>
      <c r="AC32" s="5" t="s">
        <v>2572</v>
      </c>
      <c r="AD32" s="141"/>
      <c r="AE32" s="26"/>
      <c r="AF32" s="1"/>
    </row>
    <row r="33" spans="1:32" s="53" customFormat="1" ht="28.8">
      <c r="A33" s="852"/>
      <c r="B33" s="1" t="s">
        <v>28</v>
      </c>
      <c r="C33" s="4"/>
      <c r="D33" s="141" t="s">
        <v>60</v>
      </c>
      <c r="E33" s="141"/>
      <c r="F33" s="141"/>
      <c r="G33" s="141"/>
      <c r="H33" s="5" t="s">
        <v>171</v>
      </c>
      <c r="I33" s="8" t="s">
        <v>34</v>
      </c>
      <c r="J33" s="16" t="s">
        <v>2573</v>
      </c>
      <c r="K33" s="16"/>
      <c r="L33" s="16"/>
      <c r="M33" s="176">
        <v>42675</v>
      </c>
      <c r="N33" s="176"/>
      <c r="O33" s="176">
        <v>42736</v>
      </c>
      <c r="P33" s="12">
        <v>9</v>
      </c>
      <c r="Q33" s="25">
        <v>9</v>
      </c>
      <c r="R33" s="75">
        <v>20000</v>
      </c>
      <c r="S33" s="30" t="s">
        <v>237</v>
      </c>
      <c r="T33" s="12" t="s">
        <v>54</v>
      </c>
      <c r="U33" s="4"/>
      <c r="V33" s="4"/>
      <c r="W33" s="5" t="s">
        <v>2574</v>
      </c>
      <c r="X33" s="12"/>
      <c r="Y33" s="5" t="s">
        <v>457</v>
      </c>
      <c r="Z33" s="5"/>
      <c r="AA33" s="26"/>
      <c r="AB33" s="28"/>
      <c r="AC33" s="8" t="s">
        <v>2575</v>
      </c>
      <c r="AD33" s="141"/>
      <c r="AE33" s="27" t="s">
        <v>2576</v>
      </c>
    </row>
    <row r="34" spans="1:32" s="34" customFormat="1" ht="15.6">
      <c r="A34" s="1061">
        <v>44974</v>
      </c>
      <c r="B34" s="1068" t="s">
        <v>210</v>
      </c>
      <c r="C34" s="1072">
        <v>40971</v>
      </c>
      <c r="D34" s="1021" t="s">
        <v>1034</v>
      </c>
      <c r="E34" s="1020" t="s">
        <v>210</v>
      </c>
      <c r="F34" s="1020" t="s">
        <v>190</v>
      </c>
      <c r="G34" s="1020" t="s">
        <v>190</v>
      </c>
      <c r="H34" s="1066" t="s">
        <v>190</v>
      </c>
      <c r="I34" s="1066" t="s">
        <v>190</v>
      </c>
      <c r="J34" s="1095" t="s">
        <v>1207</v>
      </c>
      <c r="K34" s="1072" t="s">
        <v>2577</v>
      </c>
      <c r="L34" s="1066" t="s">
        <v>190</v>
      </c>
      <c r="M34" s="1066" t="s">
        <v>190</v>
      </c>
      <c r="N34" s="1066" t="s">
        <v>190</v>
      </c>
      <c r="O34" s="1142">
        <v>42750</v>
      </c>
      <c r="P34" s="1142">
        <v>45305</v>
      </c>
      <c r="Q34" s="1072" t="s">
        <v>1350</v>
      </c>
      <c r="R34" s="1176">
        <v>8624</v>
      </c>
      <c r="S34" s="1072" t="s">
        <v>237</v>
      </c>
      <c r="T34" s="1066" t="s">
        <v>190</v>
      </c>
      <c r="U34" s="1066" t="s">
        <v>190</v>
      </c>
      <c r="V34" s="1066"/>
      <c r="W34" s="1072" t="s">
        <v>1036</v>
      </c>
      <c r="X34" s="1072" t="s">
        <v>1346</v>
      </c>
      <c r="Y34" s="1072" t="s">
        <v>1266</v>
      </c>
      <c r="Z34" s="1066" t="s">
        <v>190</v>
      </c>
      <c r="AA34" s="1204" t="s">
        <v>190</v>
      </c>
      <c r="AB34" s="1204" t="s">
        <v>190</v>
      </c>
      <c r="AC34" s="1095" t="s">
        <v>1208</v>
      </c>
      <c r="AD34" s="1020" t="s">
        <v>190</v>
      </c>
      <c r="AE34" s="1254">
        <v>8624</v>
      </c>
      <c r="AF34"/>
    </row>
    <row r="35" spans="1:32" s="53" customFormat="1" ht="187.2">
      <c r="A35" s="852"/>
      <c r="B35" s="1" t="s">
        <v>28</v>
      </c>
      <c r="C35" s="4"/>
      <c r="D35" s="141" t="s">
        <v>29</v>
      </c>
      <c r="E35" s="141"/>
      <c r="F35" s="141"/>
      <c r="G35" s="141"/>
      <c r="H35" s="5" t="s">
        <v>70</v>
      </c>
      <c r="I35" s="8" t="s">
        <v>34</v>
      </c>
      <c r="J35" s="16" t="s">
        <v>2578</v>
      </c>
      <c r="K35" s="16"/>
      <c r="L35" s="16"/>
      <c r="M35" s="176">
        <v>42552</v>
      </c>
      <c r="N35" s="176"/>
      <c r="O35" s="176">
        <v>42767</v>
      </c>
      <c r="P35" s="12">
        <v>12</v>
      </c>
      <c r="Q35" s="12">
        <v>12</v>
      </c>
      <c r="R35" s="75">
        <v>1000</v>
      </c>
      <c r="S35" s="5" t="s">
        <v>163</v>
      </c>
      <c r="T35" s="12" t="s">
        <v>54</v>
      </c>
      <c r="U35" s="4"/>
      <c r="V35" s="4"/>
      <c r="W35" s="12" t="s">
        <v>2579</v>
      </c>
      <c r="X35" s="12"/>
      <c r="Y35" s="5" t="s">
        <v>457</v>
      </c>
      <c r="Z35" s="5"/>
      <c r="AA35" s="26"/>
      <c r="AB35" s="28"/>
      <c r="AC35" s="8" t="s">
        <v>2580</v>
      </c>
      <c r="AD35" s="141"/>
      <c r="AE35" s="27">
        <v>1000</v>
      </c>
      <c r="AF35"/>
    </row>
    <row r="36" spans="1:32" s="53" customFormat="1" ht="43.35" customHeight="1">
      <c r="A36" s="1363"/>
      <c r="B36" s="1" t="s">
        <v>28</v>
      </c>
      <c r="C36" s="4"/>
      <c r="D36" s="141" t="s">
        <v>29</v>
      </c>
      <c r="E36" s="141"/>
      <c r="F36" s="141"/>
      <c r="G36" s="141"/>
      <c r="H36" s="5" t="s">
        <v>70</v>
      </c>
      <c r="I36" s="8" t="s">
        <v>34</v>
      </c>
      <c r="J36" s="16" t="s">
        <v>1201</v>
      </c>
      <c r="K36" s="16"/>
      <c r="L36" s="16"/>
      <c r="M36" s="176">
        <v>42755</v>
      </c>
      <c r="N36" s="176"/>
      <c r="O36" s="176">
        <v>42794</v>
      </c>
      <c r="P36" s="12">
        <v>12</v>
      </c>
      <c r="Q36" s="13">
        <v>12</v>
      </c>
      <c r="R36" s="77">
        <v>5000</v>
      </c>
      <c r="S36" s="5" t="s">
        <v>2581</v>
      </c>
      <c r="T36" s="12" t="s">
        <v>54</v>
      </c>
      <c r="U36" s="4"/>
      <c r="V36" s="4"/>
      <c r="W36" s="5" t="s">
        <v>390</v>
      </c>
      <c r="X36" s="12"/>
      <c r="Y36" s="5" t="s">
        <v>457</v>
      </c>
      <c r="Z36" s="5"/>
      <c r="AA36" s="26"/>
      <c r="AB36" s="28"/>
      <c r="AC36" s="8" t="s">
        <v>2582</v>
      </c>
      <c r="AD36" s="141"/>
      <c r="AE36" s="27"/>
    </row>
    <row r="37" spans="1:32" s="1" customFormat="1" ht="28.8">
      <c r="A37" s="852"/>
      <c r="B37" s="1" t="s">
        <v>28</v>
      </c>
      <c r="C37" s="4"/>
      <c r="D37" s="141" t="s">
        <v>29</v>
      </c>
      <c r="E37" s="141"/>
      <c r="F37" s="141"/>
      <c r="G37" s="141"/>
      <c r="H37" s="5" t="s">
        <v>103</v>
      </c>
      <c r="I37" s="8" t="s">
        <v>34</v>
      </c>
      <c r="J37" s="16" t="s">
        <v>2583</v>
      </c>
      <c r="K37" s="16"/>
      <c r="L37" s="16"/>
      <c r="M37" s="176">
        <v>42552</v>
      </c>
      <c r="N37" s="176"/>
      <c r="O37" s="176">
        <v>42795</v>
      </c>
      <c r="P37" s="12">
        <v>24</v>
      </c>
      <c r="Q37" s="25">
        <v>24</v>
      </c>
      <c r="R37" s="75">
        <v>500000</v>
      </c>
      <c r="S37" s="30" t="s">
        <v>158</v>
      </c>
      <c r="T37" s="12" t="s">
        <v>54</v>
      </c>
      <c r="U37" s="4"/>
      <c r="V37" s="4"/>
      <c r="W37" s="5" t="s">
        <v>2584</v>
      </c>
      <c r="X37" s="12" t="s">
        <v>2585</v>
      </c>
      <c r="Y37" s="5" t="s">
        <v>457</v>
      </c>
      <c r="Z37" s="5"/>
      <c r="AA37" s="26"/>
      <c r="AB37" s="28"/>
      <c r="AC37" s="8" t="s">
        <v>2586</v>
      </c>
      <c r="AD37" s="141"/>
      <c r="AE37" s="27"/>
    </row>
    <row r="38" spans="1:32" ht="15.6">
      <c r="A38" s="1061">
        <v>44974</v>
      </c>
      <c r="B38" s="1068" t="s">
        <v>210</v>
      </c>
      <c r="C38" s="1072">
        <v>28649</v>
      </c>
      <c r="D38" s="1021" t="s">
        <v>1150</v>
      </c>
      <c r="E38" s="1020" t="s">
        <v>210</v>
      </c>
      <c r="F38" s="1020" t="s">
        <v>190</v>
      </c>
      <c r="G38" s="1020" t="s">
        <v>190</v>
      </c>
      <c r="H38" s="1066" t="s">
        <v>190</v>
      </c>
      <c r="I38" s="1066" t="s">
        <v>190</v>
      </c>
      <c r="J38" s="1095" t="s">
        <v>1196</v>
      </c>
      <c r="K38" s="1072" t="s">
        <v>1152</v>
      </c>
      <c r="L38" s="1066" t="s">
        <v>190</v>
      </c>
      <c r="M38" s="1066" t="s">
        <v>190</v>
      </c>
      <c r="N38" s="1066" t="s">
        <v>190</v>
      </c>
      <c r="O38" s="1142">
        <v>42795</v>
      </c>
      <c r="P38" s="1142">
        <v>44985</v>
      </c>
      <c r="Q38" s="1072" t="s">
        <v>2541</v>
      </c>
      <c r="R38" s="1176">
        <v>15000</v>
      </c>
      <c r="S38" s="1072" t="s">
        <v>237</v>
      </c>
      <c r="T38" s="1066" t="s">
        <v>190</v>
      </c>
      <c r="U38" s="1066" t="s">
        <v>190</v>
      </c>
      <c r="V38" s="1066"/>
      <c r="W38" s="1072" t="s">
        <v>2587</v>
      </c>
      <c r="X38" s="1072" t="s">
        <v>1346</v>
      </c>
      <c r="Y38" s="1072" t="s">
        <v>1266</v>
      </c>
      <c r="Z38" s="1066" t="s">
        <v>190</v>
      </c>
      <c r="AA38" s="1204" t="s">
        <v>190</v>
      </c>
      <c r="AB38" s="1204" t="s">
        <v>190</v>
      </c>
      <c r="AC38" s="1095" t="s">
        <v>2588</v>
      </c>
      <c r="AD38" s="1020" t="s">
        <v>190</v>
      </c>
      <c r="AE38" s="1254">
        <v>15000</v>
      </c>
    </row>
    <row r="39" spans="1:32" s="53" customFormat="1" ht="28.8">
      <c r="A39" s="889"/>
      <c r="B39" s="1" t="s">
        <v>28</v>
      </c>
      <c r="C39" s="4"/>
      <c r="D39" s="141" t="s">
        <v>60</v>
      </c>
      <c r="E39" s="141"/>
      <c r="F39" s="141"/>
      <c r="G39" s="141"/>
      <c r="H39" s="5" t="s">
        <v>63</v>
      </c>
      <c r="I39" s="8" t="s">
        <v>34</v>
      </c>
      <c r="J39" s="16" t="s">
        <v>2589</v>
      </c>
      <c r="K39" s="16"/>
      <c r="L39" s="16"/>
      <c r="M39" s="14">
        <v>42461</v>
      </c>
      <c r="N39" s="14"/>
      <c r="O39" s="14">
        <v>42826</v>
      </c>
      <c r="P39" s="12">
        <v>12</v>
      </c>
      <c r="Q39" s="5">
        <v>12</v>
      </c>
      <c r="R39" s="76">
        <v>100000</v>
      </c>
      <c r="S39" s="5" t="s">
        <v>1354</v>
      </c>
      <c r="T39" s="14" t="s">
        <v>54</v>
      </c>
      <c r="U39" s="4"/>
      <c r="V39" s="4"/>
      <c r="W39" s="5" t="s">
        <v>67</v>
      </c>
      <c r="X39" s="62"/>
      <c r="Y39" s="5" t="s">
        <v>457</v>
      </c>
      <c r="Z39" s="5"/>
      <c r="AA39" s="26"/>
      <c r="AB39" s="28"/>
      <c r="AC39" s="5" t="s">
        <v>2590</v>
      </c>
      <c r="AD39" s="141"/>
      <c r="AE39" s="214">
        <v>50000</v>
      </c>
      <c r="AF39" s="1"/>
    </row>
    <row r="40" spans="1:32" s="1" customFormat="1" ht="79.5" customHeight="1">
      <c r="A40" s="852"/>
      <c r="B40" s="1" t="s">
        <v>28</v>
      </c>
      <c r="C40" s="4"/>
      <c r="D40" s="141" t="s">
        <v>29</v>
      </c>
      <c r="E40" s="141"/>
      <c r="F40" s="141"/>
      <c r="G40" s="141"/>
      <c r="H40" s="5" t="s">
        <v>70</v>
      </c>
      <c r="I40" s="8" t="s">
        <v>34</v>
      </c>
      <c r="J40" s="16" t="s">
        <v>2591</v>
      </c>
      <c r="K40" s="16"/>
      <c r="L40" s="16"/>
      <c r="M40" s="176">
        <v>42675</v>
      </c>
      <c r="N40" s="176"/>
      <c r="O40" s="176">
        <v>42826</v>
      </c>
      <c r="P40" s="12">
        <v>12</v>
      </c>
      <c r="Q40" s="28" t="s">
        <v>108</v>
      </c>
      <c r="R40" s="75">
        <v>19990</v>
      </c>
      <c r="S40" s="30" t="s">
        <v>2581</v>
      </c>
      <c r="T40" s="12" t="s">
        <v>110</v>
      </c>
      <c r="U40" s="4"/>
      <c r="V40" s="4"/>
      <c r="W40" s="5" t="s">
        <v>286</v>
      </c>
      <c r="X40" s="12"/>
      <c r="Y40" s="5" t="s">
        <v>457</v>
      </c>
      <c r="Z40" s="5"/>
      <c r="AA40" s="26"/>
      <c r="AB40" s="28"/>
      <c r="AC40" s="8"/>
      <c r="AD40" s="141"/>
      <c r="AE40" s="27"/>
      <c r="AF40" s="53"/>
    </row>
    <row r="41" spans="1:32" s="1" customFormat="1" ht="28.8">
      <c r="A41" s="852"/>
      <c r="B41" s="1" t="s">
        <v>28</v>
      </c>
      <c r="C41" s="4"/>
      <c r="D41" s="141" t="s">
        <v>29</v>
      </c>
      <c r="E41" s="141"/>
      <c r="F41" s="141"/>
      <c r="G41" s="141"/>
      <c r="H41" s="5" t="s">
        <v>148</v>
      </c>
      <c r="I41" s="8" t="s">
        <v>34</v>
      </c>
      <c r="J41" s="16" t="s">
        <v>2592</v>
      </c>
      <c r="K41" s="8"/>
      <c r="L41" s="8"/>
      <c r="M41" s="14">
        <v>42705</v>
      </c>
      <c r="N41" s="14"/>
      <c r="O41" s="14">
        <v>42826</v>
      </c>
      <c r="P41" s="12">
        <v>36</v>
      </c>
      <c r="Q41" s="26">
        <v>36</v>
      </c>
      <c r="R41" s="18">
        <v>100000</v>
      </c>
      <c r="S41" s="30" t="s">
        <v>163</v>
      </c>
      <c r="T41" s="14" t="s">
        <v>54</v>
      </c>
      <c r="U41" s="4"/>
      <c r="V41" s="4"/>
      <c r="W41" s="5" t="s">
        <v>90</v>
      </c>
      <c r="X41" s="5" t="s">
        <v>184</v>
      </c>
      <c r="Y41" s="5" t="s">
        <v>457</v>
      </c>
      <c r="Z41" s="5"/>
      <c r="AA41" s="26"/>
      <c r="AB41" s="26"/>
      <c r="AC41" s="8" t="s">
        <v>2593</v>
      </c>
      <c r="AD41" s="141"/>
      <c r="AE41" s="218"/>
      <c r="AF41"/>
    </row>
    <row r="42" spans="1:32" s="1" customFormat="1" ht="86.4">
      <c r="A42" s="852"/>
      <c r="B42" s="1" t="s">
        <v>28</v>
      </c>
      <c r="C42" s="4"/>
      <c r="D42" s="141" t="s">
        <v>29</v>
      </c>
      <c r="E42" s="141"/>
      <c r="F42" s="141"/>
      <c r="G42" s="141"/>
      <c r="H42" s="5" t="s">
        <v>70</v>
      </c>
      <c r="I42" s="10" t="s">
        <v>64</v>
      </c>
      <c r="J42" s="16" t="s">
        <v>2594</v>
      </c>
      <c r="K42" s="16"/>
      <c r="L42" s="16"/>
      <c r="M42" s="176">
        <v>42795</v>
      </c>
      <c r="N42" s="176"/>
      <c r="O42" s="176">
        <v>42826</v>
      </c>
      <c r="P42" s="12">
        <v>12</v>
      </c>
      <c r="Q42" s="28" t="s">
        <v>108</v>
      </c>
      <c r="R42" s="77" t="s">
        <v>2595</v>
      </c>
      <c r="S42" s="30" t="s">
        <v>2596</v>
      </c>
      <c r="T42" s="12" t="s">
        <v>54</v>
      </c>
      <c r="U42" s="4"/>
      <c r="V42" s="4"/>
      <c r="W42" s="5" t="s">
        <v>1003</v>
      </c>
      <c r="X42" s="12"/>
      <c r="Y42" s="5" t="s">
        <v>457</v>
      </c>
      <c r="Z42" s="5"/>
      <c r="AA42" s="26"/>
      <c r="AB42" s="28"/>
      <c r="AC42" s="8" t="s">
        <v>2597</v>
      </c>
      <c r="AD42" s="141"/>
      <c r="AE42" s="219">
        <v>2497</v>
      </c>
      <c r="AF42"/>
    </row>
    <row r="43" spans="1:32" s="53" customFormat="1" ht="28.8">
      <c r="A43" s="852"/>
      <c r="B43" s="1" t="s">
        <v>28</v>
      </c>
      <c r="C43" s="4"/>
      <c r="D43" s="141" t="s">
        <v>29</v>
      </c>
      <c r="E43" s="141"/>
      <c r="F43" s="141"/>
      <c r="G43" s="141"/>
      <c r="H43" s="12" t="s">
        <v>70</v>
      </c>
      <c r="I43" s="10" t="s">
        <v>34</v>
      </c>
      <c r="J43" s="16" t="s">
        <v>2598</v>
      </c>
      <c r="K43" s="16"/>
      <c r="L43" s="16"/>
      <c r="M43" s="176">
        <v>42826</v>
      </c>
      <c r="N43" s="176"/>
      <c r="O43" s="176">
        <v>42826</v>
      </c>
      <c r="P43" s="12">
        <v>12</v>
      </c>
      <c r="Q43" s="13" t="s">
        <v>108</v>
      </c>
      <c r="R43" s="80">
        <v>3266</v>
      </c>
      <c r="S43" s="5" t="s">
        <v>2581</v>
      </c>
      <c r="T43" s="12" t="s">
        <v>54</v>
      </c>
      <c r="U43" s="4"/>
      <c r="V43" s="4"/>
      <c r="W43" s="12" t="s">
        <v>113</v>
      </c>
      <c r="X43" s="12" t="s">
        <v>2599</v>
      </c>
      <c r="Y43" s="5" t="s">
        <v>457</v>
      </c>
      <c r="Z43" s="5"/>
      <c r="AA43" s="26"/>
      <c r="AB43" s="28"/>
      <c r="AC43" s="8"/>
      <c r="AD43" s="141"/>
      <c r="AE43" s="27"/>
    </row>
    <row r="44" spans="1:32" s="53" customFormat="1" ht="55.2">
      <c r="A44" s="852"/>
      <c r="B44" s="712" t="s">
        <v>48</v>
      </c>
      <c r="C44" s="520" t="s">
        <v>43</v>
      </c>
      <c r="D44" s="727" t="s">
        <v>60</v>
      </c>
      <c r="E44" s="727"/>
      <c r="F44" s="727"/>
      <c r="G44" s="727"/>
      <c r="H44" s="521" t="s">
        <v>127</v>
      </c>
      <c r="I44" s="522" t="s">
        <v>34</v>
      </c>
      <c r="J44" s="1023" t="s">
        <v>1474</v>
      </c>
      <c r="K44" s="522"/>
      <c r="L44" s="523">
        <v>42835</v>
      </c>
      <c r="M44" s="523"/>
      <c r="N44" s="523"/>
      <c r="O44" s="523">
        <v>42826</v>
      </c>
      <c r="P44" s="524">
        <v>0</v>
      </c>
      <c r="Q44" s="524">
        <v>0</v>
      </c>
      <c r="R44" s="525">
        <v>14171.66</v>
      </c>
      <c r="S44" s="526" t="s">
        <v>1412</v>
      </c>
      <c r="T44" s="527" t="s">
        <v>54</v>
      </c>
      <c r="U44" s="527"/>
      <c r="V44" s="527"/>
      <c r="W44" s="520" t="s">
        <v>1475</v>
      </c>
      <c r="X44" s="114"/>
      <c r="Y44" s="114"/>
      <c r="Z44" s="114"/>
      <c r="AA44" s="180"/>
      <c r="AB44" s="180"/>
      <c r="AC44" s="114"/>
      <c r="AD44" s="303"/>
      <c r="AE44" s="180"/>
    </row>
    <row r="45" spans="1:32" s="53" customFormat="1" ht="71.25" customHeight="1">
      <c r="A45" s="1061">
        <v>44974</v>
      </c>
      <c r="B45" s="1068" t="s">
        <v>210</v>
      </c>
      <c r="C45" s="1072">
        <v>30200</v>
      </c>
      <c r="D45" s="1021" t="s">
        <v>1034</v>
      </c>
      <c r="E45" s="1020" t="s">
        <v>210</v>
      </c>
      <c r="F45" s="1020" t="s">
        <v>190</v>
      </c>
      <c r="G45" s="1020" t="s">
        <v>190</v>
      </c>
      <c r="H45" s="1066" t="s">
        <v>190</v>
      </c>
      <c r="I45" s="1066" t="s">
        <v>190</v>
      </c>
      <c r="J45" s="1095" t="s">
        <v>2600</v>
      </c>
      <c r="K45" s="1066" t="s">
        <v>995</v>
      </c>
      <c r="L45" s="1066" t="s">
        <v>190</v>
      </c>
      <c r="M45" s="1066" t="s">
        <v>190</v>
      </c>
      <c r="N45" s="1066" t="s">
        <v>190</v>
      </c>
      <c r="O45" s="1142">
        <v>42826</v>
      </c>
      <c r="P45" s="1142">
        <v>45016</v>
      </c>
      <c r="Q45" s="1075" t="s">
        <v>1350</v>
      </c>
      <c r="R45" s="1176">
        <v>12918</v>
      </c>
      <c r="S45" s="1021" t="s">
        <v>237</v>
      </c>
      <c r="T45" s="1066" t="s">
        <v>190</v>
      </c>
      <c r="U45" s="1066" t="s">
        <v>190</v>
      </c>
      <c r="V45" s="1066"/>
      <c r="W45" s="1072" t="s">
        <v>1036</v>
      </c>
      <c r="X45" s="1072" t="s">
        <v>1346</v>
      </c>
      <c r="Y45" s="1072" t="s">
        <v>1266</v>
      </c>
      <c r="Z45" s="1066" t="s">
        <v>190</v>
      </c>
      <c r="AA45" s="1204" t="s">
        <v>190</v>
      </c>
      <c r="AB45" s="1204" t="s">
        <v>190</v>
      </c>
      <c r="AC45" s="1095" t="s">
        <v>2601</v>
      </c>
      <c r="AD45" s="1020" t="s">
        <v>190</v>
      </c>
      <c r="AE45" s="1254">
        <v>12918</v>
      </c>
      <c r="AF45"/>
    </row>
    <row r="46" spans="1:32" ht="28.8">
      <c r="A46" s="1363"/>
      <c r="B46" s="1" t="s">
        <v>28</v>
      </c>
      <c r="C46" s="4"/>
      <c r="D46" s="141" t="s">
        <v>29</v>
      </c>
      <c r="E46" s="141"/>
      <c r="F46" s="141"/>
      <c r="G46" s="141"/>
      <c r="H46" s="5" t="s">
        <v>2602</v>
      </c>
      <c r="I46" s="8" t="s">
        <v>34</v>
      </c>
      <c r="J46" s="16" t="s">
        <v>2603</v>
      </c>
      <c r="K46" s="16"/>
      <c r="L46" s="16"/>
      <c r="M46" s="176">
        <v>42751</v>
      </c>
      <c r="N46" s="176"/>
      <c r="O46" s="176">
        <v>42828</v>
      </c>
      <c r="P46" s="12">
        <v>24</v>
      </c>
      <c r="Q46" s="7">
        <v>24</v>
      </c>
      <c r="R46" s="75">
        <v>100000</v>
      </c>
      <c r="S46" s="5" t="s">
        <v>2604</v>
      </c>
      <c r="T46" s="12"/>
      <c r="U46" s="4"/>
      <c r="V46" s="4"/>
      <c r="W46" s="5" t="s">
        <v>2605</v>
      </c>
      <c r="X46" s="12"/>
      <c r="Y46" s="5" t="s">
        <v>457</v>
      </c>
      <c r="Z46" s="5"/>
      <c r="AA46" s="26"/>
      <c r="AB46" s="28"/>
      <c r="AC46" s="8" t="s">
        <v>2606</v>
      </c>
      <c r="AD46" s="141"/>
      <c r="AE46" s="27"/>
      <c r="AF46" s="53"/>
    </row>
    <row r="47" spans="1:32" ht="55.2">
      <c r="A47" s="852"/>
      <c r="B47" s="712" t="s">
        <v>48</v>
      </c>
      <c r="C47" s="529" t="s">
        <v>1415</v>
      </c>
      <c r="D47" s="727" t="s">
        <v>60</v>
      </c>
      <c r="E47" s="727"/>
      <c r="F47" s="727"/>
      <c r="G47" s="727"/>
      <c r="H47" s="521" t="s">
        <v>127</v>
      </c>
      <c r="I47" s="522" t="s">
        <v>34</v>
      </c>
      <c r="J47" s="1023" t="s">
        <v>1416</v>
      </c>
      <c r="K47" s="522"/>
      <c r="L47" s="523">
        <v>42984</v>
      </c>
      <c r="M47" s="523"/>
      <c r="N47" s="523"/>
      <c r="O47" s="523">
        <v>42846</v>
      </c>
      <c r="P47" s="524">
        <v>48</v>
      </c>
      <c r="Q47" s="769">
        <v>48</v>
      </c>
      <c r="R47" s="525">
        <v>40000</v>
      </c>
      <c r="S47" s="527" t="s">
        <v>1417</v>
      </c>
      <c r="T47" s="527" t="s">
        <v>54</v>
      </c>
      <c r="U47" s="527"/>
      <c r="V47" s="527"/>
      <c r="W47" s="528" t="s">
        <v>1381</v>
      </c>
      <c r="X47" s="114"/>
      <c r="Y47" s="114"/>
      <c r="Z47" s="114"/>
      <c r="AA47" s="180"/>
      <c r="AB47" s="180"/>
      <c r="AC47" s="114"/>
      <c r="AD47" s="303"/>
      <c r="AE47" s="180"/>
      <c r="AF47" s="53"/>
    </row>
    <row r="48" spans="1:32" s="53" customFormat="1" ht="28.8">
      <c r="A48" s="454"/>
      <c r="B48" s="1" t="s">
        <v>28</v>
      </c>
      <c r="C48" s="4"/>
      <c r="D48" s="141" t="s">
        <v>29</v>
      </c>
      <c r="E48" s="141"/>
      <c r="F48" s="141"/>
      <c r="G48" s="141"/>
      <c r="H48" s="12" t="s">
        <v>70</v>
      </c>
      <c r="I48" s="10" t="s">
        <v>34</v>
      </c>
      <c r="J48" s="16" t="s">
        <v>1222</v>
      </c>
      <c r="K48" s="16"/>
      <c r="L48" s="16"/>
      <c r="M48" s="176">
        <v>42847</v>
      </c>
      <c r="N48" s="176"/>
      <c r="O48" s="176">
        <v>42850</v>
      </c>
      <c r="P48" s="12">
        <v>12</v>
      </c>
      <c r="Q48" s="28" t="s">
        <v>108</v>
      </c>
      <c r="R48" s="80">
        <v>655</v>
      </c>
      <c r="S48" s="30" t="s">
        <v>2581</v>
      </c>
      <c r="T48" s="12" t="s">
        <v>54</v>
      </c>
      <c r="U48" s="4"/>
      <c r="V48" s="4"/>
      <c r="W48" s="12" t="s">
        <v>113</v>
      </c>
      <c r="X48" s="12"/>
      <c r="Y48" s="5" t="s">
        <v>457</v>
      </c>
      <c r="Z48" s="5"/>
      <c r="AA48" s="26"/>
      <c r="AB48" s="28"/>
      <c r="AC48" s="81"/>
      <c r="AD48" s="141"/>
      <c r="AE48" s="27"/>
    </row>
    <row r="49" spans="1:32" ht="28.8">
      <c r="A49" s="454"/>
      <c r="B49" s="1" t="s">
        <v>28</v>
      </c>
      <c r="C49" s="4"/>
      <c r="D49" s="141" t="s">
        <v>29</v>
      </c>
      <c r="E49" s="141"/>
      <c r="F49" s="141"/>
      <c r="G49" s="141"/>
      <c r="H49" s="12" t="s">
        <v>70</v>
      </c>
      <c r="I49" s="10" t="s">
        <v>34</v>
      </c>
      <c r="J49" s="16" t="s">
        <v>2607</v>
      </c>
      <c r="K49" s="16"/>
      <c r="L49" s="16"/>
      <c r="M49" s="176">
        <v>42856</v>
      </c>
      <c r="N49" s="176"/>
      <c r="O49" s="176">
        <v>42856</v>
      </c>
      <c r="P49" s="12">
        <v>24</v>
      </c>
      <c r="Q49" s="28" t="s">
        <v>365</v>
      </c>
      <c r="R49" s="82">
        <v>29250</v>
      </c>
      <c r="S49" s="30" t="s">
        <v>2608</v>
      </c>
      <c r="T49" s="12" t="s">
        <v>54</v>
      </c>
      <c r="U49" s="4"/>
      <c r="V49" s="4"/>
      <c r="W49" s="12" t="s">
        <v>584</v>
      </c>
      <c r="X49" s="12"/>
      <c r="Y49" s="5" t="s">
        <v>457</v>
      </c>
      <c r="Z49" s="5"/>
      <c r="AA49" s="26"/>
      <c r="AB49" s="28"/>
      <c r="AC49" s="8" t="s">
        <v>2609</v>
      </c>
      <c r="AD49" s="141"/>
      <c r="AE49" s="26"/>
      <c r="AF49" s="34"/>
    </row>
    <row r="50" spans="1:32" s="53" customFormat="1" ht="28.8">
      <c r="A50" s="454"/>
      <c r="B50" s="1" t="s">
        <v>28</v>
      </c>
      <c r="C50" s="4"/>
      <c r="D50" s="141" t="s">
        <v>29</v>
      </c>
      <c r="E50" s="141"/>
      <c r="F50" s="141"/>
      <c r="G50" s="141"/>
      <c r="H50" s="12" t="s">
        <v>70</v>
      </c>
      <c r="I50" s="8" t="s">
        <v>64</v>
      </c>
      <c r="J50" s="97" t="s">
        <v>1313</v>
      </c>
      <c r="K50" s="83"/>
      <c r="L50" s="83"/>
      <c r="M50" s="84">
        <v>42948</v>
      </c>
      <c r="N50" s="84"/>
      <c r="O50" s="84">
        <v>42856</v>
      </c>
      <c r="P50" s="85">
        <v>12</v>
      </c>
      <c r="Q50" s="86" t="s">
        <v>2610</v>
      </c>
      <c r="R50" s="18">
        <v>210000</v>
      </c>
      <c r="S50" s="5" t="s">
        <v>64</v>
      </c>
      <c r="T50" s="439" t="s">
        <v>54</v>
      </c>
      <c r="U50" s="4"/>
      <c r="V50" s="4"/>
      <c r="W50" s="85" t="s">
        <v>2611</v>
      </c>
      <c r="X50" s="85" t="s">
        <v>234</v>
      </c>
      <c r="Y50" s="5" t="s">
        <v>457</v>
      </c>
      <c r="Z50" s="5"/>
      <c r="AA50" s="26"/>
      <c r="AB50" s="845"/>
      <c r="AC50" s="8" t="s">
        <v>2612</v>
      </c>
      <c r="AD50" s="141" t="s">
        <v>2613</v>
      </c>
      <c r="AE50" s="876">
        <v>26250</v>
      </c>
    </row>
    <row r="51" spans="1:32" s="175" customFormat="1" ht="60.75" customHeight="1">
      <c r="A51" s="852"/>
      <c r="B51" s="712" t="s">
        <v>48</v>
      </c>
      <c r="C51" s="529" t="s">
        <v>43</v>
      </c>
      <c r="D51" s="727" t="s">
        <v>60</v>
      </c>
      <c r="E51" s="727"/>
      <c r="F51" s="727"/>
      <c r="G51" s="727"/>
      <c r="H51" s="521" t="s">
        <v>127</v>
      </c>
      <c r="I51" s="522" t="s">
        <v>34</v>
      </c>
      <c r="J51" s="1023" t="s">
        <v>1411</v>
      </c>
      <c r="K51" s="522"/>
      <c r="L51" s="523">
        <v>42880</v>
      </c>
      <c r="M51" s="523"/>
      <c r="N51" s="523"/>
      <c r="O51" s="523">
        <v>42880</v>
      </c>
      <c r="P51" s="524">
        <v>3</v>
      </c>
      <c r="Q51" s="769">
        <v>3</v>
      </c>
      <c r="R51" s="525">
        <v>4500</v>
      </c>
      <c r="S51" s="790" t="s">
        <v>1412</v>
      </c>
      <c r="T51" s="527" t="s">
        <v>54</v>
      </c>
      <c r="U51" s="527"/>
      <c r="V51" s="527"/>
      <c r="W51" s="528" t="s">
        <v>1413</v>
      </c>
      <c r="X51" s="114"/>
      <c r="Y51" s="114"/>
      <c r="Z51" s="114"/>
      <c r="AA51" s="180"/>
      <c r="AB51" s="180"/>
      <c r="AC51" s="114"/>
      <c r="AD51" s="303"/>
      <c r="AE51" s="180"/>
      <c r="AF51" s="53"/>
    </row>
    <row r="52" spans="1:32" s="53" customFormat="1" ht="28.8">
      <c r="A52" s="852"/>
      <c r="B52" s="1" t="s">
        <v>28</v>
      </c>
      <c r="C52" s="4"/>
      <c r="D52" s="141" t="s">
        <v>29</v>
      </c>
      <c r="E52" s="141"/>
      <c r="F52" s="141"/>
      <c r="G52" s="141"/>
      <c r="H52" s="12" t="s">
        <v>70</v>
      </c>
      <c r="I52" s="10" t="s">
        <v>64</v>
      </c>
      <c r="J52" s="16" t="s">
        <v>2614</v>
      </c>
      <c r="K52" s="16"/>
      <c r="L52" s="16"/>
      <c r="M52" s="176">
        <v>42736</v>
      </c>
      <c r="N52" s="176"/>
      <c r="O52" s="176">
        <v>42887</v>
      </c>
      <c r="P52" s="12">
        <v>12</v>
      </c>
      <c r="Q52" s="28" t="s">
        <v>108</v>
      </c>
      <c r="R52" s="80">
        <v>1301.92</v>
      </c>
      <c r="S52" s="30" t="s">
        <v>2615</v>
      </c>
      <c r="T52" s="12" t="s">
        <v>54</v>
      </c>
      <c r="U52" s="4"/>
      <c r="V52" s="4"/>
      <c r="W52" s="12" t="s">
        <v>2616</v>
      </c>
      <c r="X52" s="12" t="s">
        <v>2617</v>
      </c>
      <c r="Y52" s="5" t="s">
        <v>457</v>
      </c>
      <c r="Z52" s="5"/>
      <c r="AA52" s="26"/>
      <c r="AB52" s="28"/>
      <c r="AC52" s="8" t="s">
        <v>2618</v>
      </c>
      <c r="AD52" s="141"/>
      <c r="AE52" s="27"/>
      <c r="AF52" s="1"/>
    </row>
    <row r="53" spans="1:32" ht="201.6">
      <c r="A53" s="886"/>
      <c r="B53" s="1" t="s">
        <v>28</v>
      </c>
      <c r="C53" s="4"/>
      <c r="D53" s="141" t="s">
        <v>29</v>
      </c>
      <c r="E53" s="141"/>
      <c r="F53" s="141"/>
      <c r="G53" s="141"/>
      <c r="H53" s="5" t="s">
        <v>311</v>
      </c>
      <c r="I53" s="16" t="s">
        <v>295</v>
      </c>
      <c r="J53" s="16" t="s">
        <v>736</v>
      </c>
      <c r="K53" s="16"/>
      <c r="L53" s="16"/>
      <c r="M53" s="193">
        <v>42856</v>
      </c>
      <c r="N53" s="193"/>
      <c r="O53" s="193">
        <v>42887</v>
      </c>
      <c r="P53" s="72">
        <v>12</v>
      </c>
      <c r="Q53" s="26">
        <v>12</v>
      </c>
      <c r="R53" s="76">
        <v>350000</v>
      </c>
      <c r="S53" s="30" t="s">
        <v>737</v>
      </c>
      <c r="T53" s="5" t="s">
        <v>54</v>
      </c>
      <c r="U53" s="4"/>
      <c r="V53" s="4"/>
      <c r="W53" s="5" t="s">
        <v>2619</v>
      </c>
      <c r="X53" s="5" t="s">
        <v>68</v>
      </c>
      <c r="Y53" s="5" t="s">
        <v>457</v>
      </c>
      <c r="Z53" s="5"/>
      <c r="AA53" s="26"/>
      <c r="AB53" s="28"/>
      <c r="AC53" s="16" t="s">
        <v>2620</v>
      </c>
      <c r="AD53" s="141"/>
      <c r="AE53" s="870">
        <v>350000</v>
      </c>
    </row>
    <row r="54" spans="1:32" ht="110.4">
      <c r="A54" s="852"/>
      <c r="B54" s="712" t="s">
        <v>48</v>
      </c>
      <c r="C54" s="529" t="s">
        <v>1440</v>
      </c>
      <c r="D54" s="727" t="s">
        <v>60</v>
      </c>
      <c r="E54" s="727"/>
      <c r="F54" s="727"/>
      <c r="G54" s="727"/>
      <c r="H54" s="521" t="s">
        <v>127</v>
      </c>
      <c r="I54" s="522" t="s">
        <v>34</v>
      </c>
      <c r="J54" s="1023" t="s">
        <v>1441</v>
      </c>
      <c r="K54" s="522"/>
      <c r="L54" s="523">
        <v>42908</v>
      </c>
      <c r="M54" s="523"/>
      <c r="N54" s="523"/>
      <c r="O54" s="523">
        <v>42897</v>
      </c>
      <c r="P54" s="524">
        <v>1</v>
      </c>
      <c r="Q54" s="524">
        <v>1</v>
      </c>
      <c r="R54" s="525">
        <v>600000</v>
      </c>
      <c r="S54" s="526" t="s">
        <v>1372</v>
      </c>
      <c r="T54" s="527" t="s">
        <v>54</v>
      </c>
      <c r="U54" s="527"/>
      <c r="V54" s="527"/>
      <c r="W54" s="528"/>
      <c r="X54" s="114"/>
      <c r="Y54" s="114"/>
      <c r="Z54" s="114"/>
      <c r="AA54" s="180"/>
      <c r="AB54" s="180"/>
      <c r="AC54" s="114"/>
      <c r="AD54" s="303"/>
      <c r="AE54" s="180"/>
      <c r="AF54" s="53"/>
    </row>
    <row r="55" spans="1:32" s="53" customFormat="1" ht="28.8">
      <c r="A55" s="887"/>
      <c r="B55" s="1" t="s">
        <v>28</v>
      </c>
      <c r="C55" s="4"/>
      <c r="D55" s="141" t="s">
        <v>29</v>
      </c>
      <c r="E55" s="141"/>
      <c r="F55" s="141"/>
      <c r="G55" s="141"/>
      <c r="H55" s="12" t="s">
        <v>70</v>
      </c>
      <c r="I55" s="10" t="s">
        <v>34</v>
      </c>
      <c r="J55" s="16" t="s">
        <v>2621</v>
      </c>
      <c r="K55" s="16"/>
      <c r="L55" s="16"/>
      <c r="M55" s="176" t="s">
        <v>37</v>
      </c>
      <c r="N55" s="176"/>
      <c r="O55" s="176">
        <v>42900</v>
      </c>
      <c r="P55" s="12">
        <v>36</v>
      </c>
      <c r="Q55" s="28" t="s">
        <v>488</v>
      </c>
      <c r="R55" s="80">
        <v>1215.46</v>
      </c>
      <c r="S55" s="5" t="s">
        <v>163</v>
      </c>
      <c r="T55" s="12" t="s">
        <v>54</v>
      </c>
      <c r="U55" s="4"/>
      <c r="V55" s="4"/>
      <c r="W55" s="12" t="s">
        <v>2622</v>
      </c>
      <c r="X55" s="12" t="s">
        <v>2599</v>
      </c>
      <c r="Y55" s="5" t="s">
        <v>457</v>
      </c>
      <c r="Z55" s="5"/>
      <c r="AA55" s="26"/>
      <c r="AB55" s="28"/>
      <c r="AC55" s="8" t="s">
        <v>2623</v>
      </c>
      <c r="AD55" s="141"/>
      <c r="AE55" s="27"/>
      <c r="AF55" s="1"/>
    </row>
    <row r="56" spans="1:32" ht="28.8">
      <c r="A56" s="888"/>
      <c r="B56" s="1" t="s">
        <v>28</v>
      </c>
      <c r="C56" s="67"/>
      <c r="D56" s="4" t="s">
        <v>29</v>
      </c>
      <c r="E56" s="4"/>
      <c r="F56" s="4"/>
      <c r="G56" s="4"/>
      <c r="H56" s="12" t="s">
        <v>70</v>
      </c>
      <c r="I56" s="10" t="s">
        <v>34</v>
      </c>
      <c r="J56" s="16" t="s">
        <v>2624</v>
      </c>
      <c r="K56" s="16"/>
      <c r="L56" s="16"/>
      <c r="M56" s="176" t="s">
        <v>37</v>
      </c>
      <c r="N56" s="176"/>
      <c r="O56" s="176">
        <v>42900</v>
      </c>
      <c r="P56" s="12">
        <v>36</v>
      </c>
      <c r="Q56" s="28" t="s">
        <v>488</v>
      </c>
      <c r="R56" s="80">
        <v>106.66</v>
      </c>
      <c r="S56" s="30" t="s">
        <v>163</v>
      </c>
      <c r="T56" s="12" t="s">
        <v>54</v>
      </c>
      <c r="U56" s="4"/>
      <c r="V56" s="4"/>
      <c r="W56" s="12" t="s">
        <v>2622</v>
      </c>
      <c r="X56" s="12" t="s">
        <v>2599</v>
      </c>
      <c r="Y56" s="5" t="s">
        <v>457</v>
      </c>
      <c r="Z56" s="5"/>
      <c r="AA56" s="26"/>
      <c r="AB56" s="28"/>
      <c r="AC56" s="8" t="s">
        <v>2623</v>
      </c>
      <c r="AD56" s="141"/>
      <c r="AE56" s="27"/>
      <c r="AF56" s="1"/>
    </row>
    <row r="57" spans="1:32" ht="82.8">
      <c r="A57" s="852"/>
      <c r="B57" s="712" t="s">
        <v>48</v>
      </c>
      <c r="C57" s="529" t="s">
        <v>1418</v>
      </c>
      <c r="D57" s="727" t="s">
        <v>60</v>
      </c>
      <c r="E57" s="727"/>
      <c r="F57" s="727"/>
      <c r="G57" s="727"/>
      <c r="H57" s="521" t="s">
        <v>127</v>
      </c>
      <c r="I57" s="522" t="s">
        <v>34</v>
      </c>
      <c r="J57" s="1023" t="s">
        <v>1419</v>
      </c>
      <c r="K57" s="522"/>
      <c r="L57" s="523">
        <v>42878</v>
      </c>
      <c r="M57" s="523"/>
      <c r="N57" s="523"/>
      <c r="O57" s="523">
        <v>42906</v>
      </c>
      <c r="P57" s="524">
        <v>3</v>
      </c>
      <c r="Q57" s="769">
        <v>3</v>
      </c>
      <c r="R57" s="525">
        <v>150000</v>
      </c>
      <c r="S57" s="790" t="s">
        <v>1397</v>
      </c>
      <c r="T57" s="527" t="s">
        <v>54</v>
      </c>
      <c r="U57" s="527"/>
      <c r="V57" s="527"/>
      <c r="W57" s="528" t="s">
        <v>1381</v>
      </c>
      <c r="X57" s="114"/>
      <c r="Y57" s="114"/>
      <c r="Z57" s="114"/>
      <c r="AA57" s="180"/>
      <c r="AB57" s="180"/>
      <c r="AC57" s="114"/>
      <c r="AE57" s="180"/>
      <c r="AF57" s="1"/>
    </row>
    <row r="58" spans="1:32" ht="43.2">
      <c r="A58" s="889"/>
      <c r="B58" s="1" t="s">
        <v>28</v>
      </c>
      <c r="C58" s="4"/>
      <c r="D58" s="141" t="s">
        <v>29</v>
      </c>
      <c r="E58" s="141"/>
      <c r="F58" s="141"/>
      <c r="G58" s="141"/>
      <c r="H58" s="5" t="s">
        <v>1292</v>
      </c>
      <c r="I58" s="8" t="s">
        <v>34</v>
      </c>
      <c r="J58" s="16" t="s">
        <v>2625</v>
      </c>
      <c r="K58" s="16"/>
      <c r="L58" s="16"/>
      <c r="M58" s="193">
        <f>EDATE(O58,-12)</f>
        <v>42552</v>
      </c>
      <c r="N58" s="193"/>
      <c r="O58" s="176">
        <v>42917</v>
      </c>
      <c r="P58" s="12">
        <v>72</v>
      </c>
      <c r="Q58" s="176" t="s">
        <v>2626</v>
      </c>
      <c r="R58" s="18">
        <v>11400</v>
      </c>
      <c r="S58" s="12" t="s">
        <v>1195</v>
      </c>
      <c r="T58" s="11" t="s">
        <v>54</v>
      </c>
      <c r="U58" s="4"/>
      <c r="V58" s="4"/>
      <c r="W58" s="5" t="s">
        <v>381</v>
      </c>
      <c r="X58" s="12"/>
      <c r="Y58" s="5" t="s">
        <v>457</v>
      </c>
      <c r="Z58" s="5"/>
      <c r="AA58" s="26"/>
      <c r="AB58" s="67"/>
      <c r="AC58" s="8" t="s">
        <v>2627</v>
      </c>
      <c r="AD58" s="141"/>
      <c r="AE58" s="218">
        <v>1900</v>
      </c>
      <c r="AF58" s="53"/>
    </row>
    <row r="59" spans="1:32" ht="28.8">
      <c r="A59" s="852"/>
      <c r="B59" s="1" t="s">
        <v>28</v>
      </c>
      <c r="C59" s="4"/>
      <c r="D59" s="112" t="s">
        <v>29</v>
      </c>
      <c r="E59" s="112"/>
      <c r="F59" s="112"/>
      <c r="G59" s="112"/>
      <c r="H59" s="5" t="s">
        <v>70</v>
      </c>
      <c r="I59" s="12" t="s">
        <v>64</v>
      </c>
      <c r="J59" s="16" t="s">
        <v>2628</v>
      </c>
      <c r="K59" s="16"/>
      <c r="L59" s="16"/>
      <c r="M59" s="176">
        <v>43018</v>
      </c>
      <c r="N59" s="176"/>
      <c r="O59" s="176">
        <v>42919</v>
      </c>
      <c r="P59" s="12">
        <v>60</v>
      </c>
      <c r="Q59" s="25" t="s">
        <v>2629</v>
      </c>
      <c r="R59" s="18">
        <v>79073</v>
      </c>
      <c r="S59" s="30" t="s">
        <v>163</v>
      </c>
      <c r="T59" s="11" t="s">
        <v>54</v>
      </c>
      <c r="U59" s="4"/>
      <c r="V59" s="4"/>
      <c r="W59" s="12" t="s">
        <v>2630</v>
      </c>
      <c r="X59" s="5" t="s">
        <v>2585</v>
      </c>
      <c r="Y59" s="5" t="s">
        <v>457</v>
      </c>
      <c r="Z59" s="5"/>
      <c r="AA59" s="26"/>
      <c r="AB59" s="25"/>
      <c r="AC59" s="8" t="s">
        <v>2631</v>
      </c>
      <c r="AD59" s="141"/>
      <c r="AE59" s="219">
        <v>15558</v>
      </c>
      <c r="AF59" s="53"/>
    </row>
    <row r="60" spans="1:32" s="53" customFormat="1" ht="28.8">
      <c r="A60" s="1363"/>
      <c r="B60" s="1" t="s">
        <v>28</v>
      </c>
      <c r="C60" s="4"/>
      <c r="D60" s="141" t="s">
        <v>29</v>
      </c>
      <c r="E60" s="141"/>
      <c r="F60" s="141"/>
      <c r="G60" s="141"/>
      <c r="H60" s="5" t="s">
        <v>70</v>
      </c>
      <c r="I60" s="8" t="s">
        <v>64</v>
      </c>
      <c r="J60" s="16" t="s">
        <v>2632</v>
      </c>
      <c r="K60" s="8"/>
      <c r="L60" s="8"/>
      <c r="M60" s="14">
        <v>42767</v>
      </c>
      <c r="N60" s="14"/>
      <c r="O60" s="14">
        <v>42920</v>
      </c>
      <c r="P60" s="12">
        <v>24</v>
      </c>
      <c r="Q60" s="26">
        <v>24</v>
      </c>
      <c r="R60" s="76">
        <v>13056</v>
      </c>
      <c r="S60" s="30" t="s">
        <v>158</v>
      </c>
      <c r="T60" s="14" t="s">
        <v>54</v>
      </c>
      <c r="U60" s="4"/>
      <c r="V60" s="4"/>
      <c r="W60" s="5" t="s">
        <v>1140</v>
      </c>
      <c r="X60" s="4"/>
      <c r="Y60" s="5" t="s">
        <v>457</v>
      </c>
      <c r="Z60" s="5"/>
      <c r="AA60" s="26"/>
      <c r="AB60" s="26"/>
      <c r="AC60" s="8"/>
      <c r="AD60" s="141"/>
      <c r="AE60" s="26"/>
    </row>
    <row r="61" spans="1:32" s="1" customFormat="1" ht="28.8">
      <c r="A61" s="1364"/>
      <c r="B61" s="1" t="s">
        <v>28</v>
      </c>
      <c r="C61" s="4"/>
      <c r="D61" s="141" t="s">
        <v>29</v>
      </c>
      <c r="E61" s="141"/>
      <c r="F61" s="141"/>
      <c r="G61" s="141"/>
      <c r="H61" s="5" t="s">
        <v>70</v>
      </c>
      <c r="I61" s="8" t="s">
        <v>64</v>
      </c>
      <c r="J61" s="16" t="s">
        <v>2633</v>
      </c>
      <c r="K61" s="16"/>
      <c r="L61" s="16"/>
      <c r="M61" s="176">
        <v>42767</v>
      </c>
      <c r="N61" s="176"/>
      <c r="O61" s="176">
        <v>42929</v>
      </c>
      <c r="P61" s="12">
        <v>12</v>
      </c>
      <c r="Q61" s="28" t="s">
        <v>1287</v>
      </c>
      <c r="R61" s="87">
        <v>1800</v>
      </c>
      <c r="S61" s="30" t="s">
        <v>1195</v>
      </c>
      <c r="T61" s="12" t="s">
        <v>54</v>
      </c>
      <c r="U61" s="4"/>
      <c r="V61" s="4"/>
      <c r="W61" s="5" t="s">
        <v>974</v>
      </c>
      <c r="X61" s="16" t="s">
        <v>35</v>
      </c>
      <c r="Y61" s="5" t="s">
        <v>457</v>
      </c>
      <c r="Z61" s="5"/>
      <c r="AA61" s="26"/>
      <c r="AB61" s="28"/>
      <c r="AC61" s="8" t="s">
        <v>2634</v>
      </c>
      <c r="AD61" s="141"/>
      <c r="AE61" s="219">
        <v>1800</v>
      </c>
      <c r="AF61"/>
    </row>
    <row r="62" spans="1:32" ht="86.4">
      <c r="A62" s="454"/>
      <c r="B62" s="1" t="s">
        <v>28</v>
      </c>
      <c r="C62" s="4"/>
      <c r="D62" s="141" t="s">
        <v>29</v>
      </c>
      <c r="E62" s="141"/>
      <c r="F62" s="141"/>
      <c r="G62" s="141"/>
      <c r="H62" s="12" t="s">
        <v>364</v>
      </c>
      <c r="I62" s="10" t="s">
        <v>1059</v>
      </c>
      <c r="J62" s="16" t="s">
        <v>2635</v>
      </c>
      <c r="K62" s="16"/>
      <c r="L62" s="16"/>
      <c r="M62" s="176">
        <v>42898</v>
      </c>
      <c r="N62" s="176"/>
      <c r="O62" s="176">
        <v>42933</v>
      </c>
      <c r="P62" s="12">
        <v>6</v>
      </c>
      <c r="Q62" s="28" t="s">
        <v>100</v>
      </c>
      <c r="R62" s="80"/>
      <c r="S62" s="30" t="s">
        <v>2636</v>
      </c>
      <c r="T62" s="12" t="s">
        <v>54</v>
      </c>
      <c r="U62" s="4"/>
      <c r="V62" s="4"/>
      <c r="W62" s="8" t="s">
        <v>2637</v>
      </c>
      <c r="X62" s="12" t="s">
        <v>2638</v>
      </c>
      <c r="Y62" s="5" t="s">
        <v>457</v>
      </c>
      <c r="Z62" s="5"/>
      <c r="AA62" s="5"/>
      <c r="AB62" s="28"/>
      <c r="AC62" s="8" t="s">
        <v>2639</v>
      </c>
      <c r="AD62" s="141"/>
      <c r="AE62" s="879">
        <v>601.70000000000005</v>
      </c>
    </row>
    <row r="63" spans="1:32" s="1" customFormat="1" ht="66" customHeight="1">
      <c r="A63" s="852"/>
      <c r="B63" s="1" t="s">
        <v>28</v>
      </c>
      <c r="C63" s="4"/>
      <c r="D63" s="141" t="s">
        <v>29</v>
      </c>
      <c r="E63" s="141"/>
      <c r="F63" s="141"/>
      <c r="G63" s="141"/>
      <c r="H63" s="12" t="s">
        <v>364</v>
      </c>
      <c r="I63" s="10" t="s">
        <v>1059</v>
      </c>
      <c r="J63" s="16" t="s">
        <v>2640</v>
      </c>
      <c r="K63" s="16"/>
      <c r="L63" s="16"/>
      <c r="M63" s="176">
        <v>42898</v>
      </c>
      <c r="N63" s="176"/>
      <c r="O63" s="1328">
        <v>42933</v>
      </c>
      <c r="P63" s="1330">
        <v>6</v>
      </c>
      <c r="Q63" s="1377" t="s">
        <v>100</v>
      </c>
      <c r="R63" s="1347"/>
      <c r="S63" s="1378" t="s">
        <v>2636</v>
      </c>
      <c r="T63" s="12" t="s">
        <v>54</v>
      </c>
      <c r="U63" s="4"/>
      <c r="V63" s="4"/>
      <c r="W63" s="8" t="s">
        <v>2637</v>
      </c>
      <c r="X63" s="12" t="s">
        <v>2638</v>
      </c>
      <c r="Y63" s="5" t="s">
        <v>457</v>
      </c>
      <c r="Z63" s="5"/>
      <c r="AA63" s="5"/>
      <c r="AB63" s="28"/>
      <c r="AC63" s="8" t="s">
        <v>2639</v>
      </c>
      <c r="AD63" s="1379"/>
      <c r="AE63" s="868">
        <v>15600</v>
      </c>
      <c r="AF63" s="53"/>
    </row>
    <row r="64" spans="1:32" s="53" customFormat="1" ht="86.4">
      <c r="A64" s="454"/>
      <c r="B64" s="1" t="s">
        <v>28</v>
      </c>
      <c r="C64" s="4"/>
      <c r="D64" s="141" t="s">
        <v>29</v>
      </c>
      <c r="E64" s="141"/>
      <c r="F64" s="141"/>
      <c r="G64" s="141"/>
      <c r="H64" s="12" t="s">
        <v>364</v>
      </c>
      <c r="I64" s="10" t="s">
        <v>1059</v>
      </c>
      <c r="J64" s="16" t="s">
        <v>2641</v>
      </c>
      <c r="K64" s="16"/>
      <c r="L64" s="16"/>
      <c r="M64" s="176">
        <v>42898</v>
      </c>
      <c r="N64" s="176"/>
      <c r="O64" s="1328">
        <v>42933</v>
      </c>
      <c r="P64" s="1330">
        <v>6</v>
      </c>
      <c r="Q64" s="1380" t="s">
        <v>100</v>
      </c>
      <c r="R64" s="1347"/>
      <c r="S64" s="1380" t="s">
        <v>2636</v>
      </c>
      <c r="T64" s="12" t="s">
        <v>54</v>
      </c>
      <c r="U64" s="4"/>
      <c r="V64" s="4"/>
      <c r="W64" s="8" t="s">
        <v>2637</v>
      </c>
      <c r="X64" s="12" t="s">
        <v>2638</v>
      </c>
      <c r="Y64" s="5" t="s">
        <v>457</v>
      </c>
      <c r="Z64" s="5"/>
      <c r="AA64" s="5"/>
      <c r="AB64" s="28"/>
      <c r="AC64" s="8" t="s">
        <v>2639</v>
      </c>
      <c r="AD64" s="1379"/>
      <c r="AE64" s="868">
        <v>3900</v>
      </c>
      <c r="AF64"/>
    </row>
    <row r="65" spans="1:32" s="53" customFormat="1" ht="110.4">
      <c r="A65" s="852"/>
      <c r="B65" s="712" t="s">
        <v>48</v>
      </c>
      <c r="C65" s="529" t="s">
        <v>1456</v>
      </c>
      <c r="D65" s="727" t="s">
        <v>60</v>
      </c>
      <c r="E65" s="727"/>
      <c r="F65" s="727"/>
      <c r="G65" s="727"/>
      <c r="H65" s="521" t="s">
        <v>127</v>
      </c>
      <c r="I65" s="522" t="s">
        <v>34</v>
      </c>
      <c r="J65" s="1023" t="s">
        <v>1457</v>
      </c>
      <c r="K65" s="522"/>
      <c r="L65" s="523">
        <v>42908</v>
      </c>
      <c r="M65" s="523"/>
      <c r="N65" s="523"/>
      <c r="O65" s="523">
        <v>42933</v>
      </c>
      <c r="P65" s="524">
        <v>1</v>
      </c>
      <c r="Q65" s="524">
        <v>1</v>
      </c>
      <c r="R65" s="525">
        <v>20000</v>
      </c>
      <c r="S65" s="526" t="s">
        <v>1372</v>
      </c>
      <c r="T65" s="527" t="s">
        <v>54</v>
      </c>
      <c r="U65" s="527"/>
      <c r="V65" s="527"/>
      <c r="W65" s="528" t="s">
        <v>1381</v>
      </c>
      <c r="X65" s="114"/>
      <c r="Y65" s="114"/>
      <c r="Z65" s="114"/>
      <c r="AA65" s="114"/>
      <c r="AB65" s="180"/>
      <c r="AC65" s="114"/>
      <c r="AD65" s="303"/>
      <c r="AE65" s="180"/>
    </row>
    <row r="66" spans="1:32" s="1" customFormat="1" ht="55.2">
      <c r="A66" s="852"/>
      <c r="B66" s="712" t="s">
        <v>48</v>
      </c>
      <c r="C66" s="529" t="s">
        <v>1375</v>
      </c>
      <c r="D66" s="727" t="s">
        <v>60</v>
      </c>
      <c r="E66" s="727"/>
      <c r="F66" s="727"/>
      <c r="G66" s="727"/>
      <c r="H66" s="521" t="s">
        <v>127</v>
      </c>
      <c r="I66" s="522" t="s">
        <v>34</v>
      </c>
      <c r="J66" s="1023" t="s">
        <v>1376</v>
      </c>
      <c r="K66" s="522"/>
      <c r="L66" s="523">
        <v>42906</v>
      </c>
      <c r="M66" s="523"/>
      <c r="N66" s="523"/>
      <c r="O66" s="523">
        <v>42935</v>
      </c>
      <c r="P66" s="524">
        <v>4</v>
      </c>
      <c r="Q66" s="524">
        <v>4</v>
      </c>
      <c r="R66" s="525">
        <v>360000</v>
      </c>
      <c r="S66" s="526" t="s">
        <v>98</v>
      </c>
      <c r="T66" s="527" t="s">
        <v>54</v>
      </c>
      <c r="U66" s="527"/>
      <c r="V66" s="527"/>
      <c r="W66" s="528" t="s">
        <v>1377</v>
      </c>
      <c r="X66" s="114"/>
      <c r="Y66" s="114"/>
      <c r="Z66" s="114"/>
      <c r="AA66" s="180"/>
      <c r="AB66" s="180"/>
      <c r="AC66" s="114"/>
      <c r="AD66" s="303"/>
      <c r="AE66" s="180"/>
      <c r="AF66" s="175"/>
    </row>
    <row r="67" spans="1:32" ht="28.8">
      <c r="A67" s="852"/>
      <c r="B67" s="1" t="s">
        <v>28</v>
      </c>
      <c r="C67" s="4"/>
      <c r="D67" s="4" t="s">
        <v>29</v>
      </c>
      <c r="E67" s="4"/>
      <c r="F67" s="4"/>
      <c r="G67" s="4"/>
      <c r="H67" s="12" t="s">
        <v>364</v>
      </c>
      <c r="I67" s="10" t="s">
        <v>1059</v>
      </c>
      <c r="J67" s="16" t="s">
        <v>2642</v>
      </c>
      <c r="K67" s="16"/>
      <c r="L67" s="16"/>
      <c r="M67" s="176">
        <v>42900</v>
      </c>
      <c r="N67" s="176"/>
      <c r="O67" s="1328">
        <v>42937</v>
      </c>
      <c r="P67" s="1330">
        <v>6</v>
      </c>
      <c r="Q67" s="1380" t="s">
        <v>100</v>
      </c>
      <c r="R67" s="1381">
        <v>28000</v>
      </c>
      <c r="S67" s="1380" t="s">
        <v>2636</v>
      </c>
      <c r="T67" s="12" t="s">
        <v>54</v>
      </c>
      <c r="U67" s="4"/>
      <c r="V67" s="4"/>
      <c r="W67" s="8" t="s">
        <v>2637</v>
      </c>
      <c r="X67" s="12" t="s">
        <v>2638</v>
      </c>
      <c r="Y67" s="5" t="s">
        <v>457</v>
      </c>
      <c r="Z67" s="5"/>
      <c r="AA67" s="5"/>
      <c r="AB67" s="28"/>
      <c r="AC67" s="8"/>
      <c r="AD67" s="1379"/>
      <c r="AE67" s="868">
        <v>3800</v>
      </c>
      <c r="AF67" s="53"/>
    </row>
    <row r="68" spans="1:32" ht="55.2">
      <c r="A68" s="852"/>
      <c r="B68" s="712" t="s">
        <v>48</v>
      </c>
      <c r="C68" s="520" t="s">
        <v>43</v>
      </c>
      <c r="D68" s="521" t="s">
        <v>60</v>
      </c>
      <c r="E68" s="521"/>
      <c r="F68" s="521"/>
      <c r="G68" s="521"/>
      <c r="H68" s="521" t="s">
        <v>127</v>
      </c>
      <c r="I68" s="522" t="s">
        <v>34</v>
      </c>
      <c r="J68" s="1023" t="s">
        <v>1488</v>
      </c>
      <c r="K68" s="522"/>
      <c r="L68" s="523">
        <v>42929</v>
      </c>
      <c r="M68" s="523"/>
      <c r="N68" s="523"/>
      <c r="O68" s="523">
        <v>42940</v>
      </c>
      <c r="P68" s="524">
        <v>2</v>
      </c>
      <c r="Q68" s="524">
        <v>2</v>
      </c>
      <c r="R68" s="525">
        <v>25018.77</v>
      </c>
      <c r="S68" s="526" t="s">
        <v>1412</v>
      </c>
      <c r="T68" s="527" t="s">
        <v>54</v>
      </c>
      <c r="U68" s="527"/>
      <c r="V68" s="527"/>
      <c r="W68" s="520" t="s">
        <v>1489</v>
      </c>
      <c r="X68" s="114"/>
      <c r="Y68" s="114"/>
      <c r="Z68" s="114"/>
      <c r="AA68" s="114"/>
      <c r="AB68" s="180"/>
      <c r="AC68" s="114"/>
      <c r="AD68" s="303"/>
      <c r="AE68" s="180"/>
    </row>
    <row r="69" spans="1:32" s="53" customFormat="1" ht="92.25" customHeight="1">
      <c r="A69" s="889"/>
      <c r="B69" s="1" t="s">
        <v>28</v>
      </c>
      <c r="C69" s="4"/>
      <c r="D69" s="141" t="s">
        <v>29</v>
      </c>
      <c r="E69" s="141"/>
      <c r="F69" s="141"/>
      <c r="G69" s="141"/>
      <c r="H69" s="5" t="s">
        <v>2643</v>
      </c>
      <c r="I69" s="16" t="s">
        <v>64</v>
      </c>
      <c r="J69" s="16" t="s">
        <v>2644</v>
      </c>
      <c r="K69" s="16"/>
      <c r="L69" s="16"/>
      <c r="M69" s="193">
        <v>42583</v>
      </c>
      <c r="N69" s="193"/>
      <c r="O69" s="193">
        <v>42948</v>
      </c>
      <c r="P69" s="5" t="s">
        <v>35</v>
      </c>
      <c r="Q69" s="5" t="s">
        <v>35</v>
      </c>
      <c r="R69" s="80" t="s">
        <v>2645</v>
      </c>
      <c r="S69" s="5" t="s">
        <v>1195</v>
      </c>
      <c r="T69" s="26"/>
      <c r="U69" s="4"/>
      <c r="V69" s="4"/>
      <c r="W69" s="5" t="s">
        <v>2579</v>
      </c>
      <c r="X69" s="5"/>
      <c r="Y69" s="5" t="s">
        <v>457</v>
      </c>
      <c r="Z69" s="5"/>
      <c r="AA69" s="5"/>
      <c r="AB69" s="28"/>
      <c r="AC69" s="16" t="s">
        <v>2646</v>
      </c>
      <c r="AD69" s="4"/>
      <c r="AE69" s="42"/>
      <c r="AF69"/>
    </row>
    <row r="70" spans="1:32" s="189" customFormat="1" ht="57.6">
      <c r="A70" s="1363"/>
      <c r="B70" s="1" t="s">
        <v>28</v>
      </c>
      <c r="C70" s="4"/>
      <c r="D70" s="141" t="s">
        <v>29</v>
      </c>
      <c r="E70" s="141"/>
      <c r="F70" s="141"/>
      <c r="G70" s="141"/>
      <c r="H70" s="5" t="s">
        <v>70</v>
      </c>
      <c r="I70" s="16" t="s">
        <v>34</v>
      </c>
      <c r="J70" s="16" t="s">
        <v>2647</v>
      </c>
      <c r="K70" s="16"/>
      <c r="L70" s="16"/>
      <c r="M70" s="193">
        <v>42614</v>
      </c>
      <c r="N70" s="193"/>
      <c r="O70" s="176">
        <v>42948</v>
      </c>
      <c r="P70" s="5">
        <v>6</v>
      </c>
      <c r="Q70" s="5">
        <v>6</v>
      </c>
      <c r="R70" s="80">
        <v>15000</v>
      </c>
      <c r="S70" s="5" t="s">
        <v>2648</v>
      </c>
      <c r="T70" s="5" t="s">
        <v>54</v>
      </c>
      <c r="U70" s="4"/>
      <c r="V70" s="4"/>
      <c r="W70" s="5" t="s">
        <v>2649</v>
      </c>
      <c r="X70" s="5" t="s">
        <v>2650</v>
      </c>
      <c r="Y70" s="5" t="s">
        <v>457</v>
      </c>
      <c r="Z70" s="5"/>
      <c r="AA70" s="5"/>
      <c r="AB70" s="28"/>
      <c r="AC70" s="16" t="s">
        <v>2651</v>
      </c>
      <c r="AD70" s="141"/>
      <c r="AE70" s="42"/>
      <c r="AF70" s="53"/>
    </row>
    <row r="71" spans="1:32" s="53" customFormat="1" ht="28.8">
      <c r="A71" s="889"/>
      <c r="B71" s="1" t="s">
        <v>28</v>
      </c>
      <c r="C71" s="4"/>
      <c r="D71" s="141" t="s">
        <v>29</v>
      </c>
      <c r="E71" s="141"/>
      <c r="F71" s="141"/>
      <c r="G71" s="141"/>
      <c r="H71" s="12" t="s">
        <v>70</v>
      </c>
      <c r="I71" s="10" t="s">
        <v>34</v>
      </c>
      <c r="J71" s="16" t="s">
        <v>2652</v>
      </c>
      <c r="K71" s="16"/>
      <c r="L71" s="16"/>
      <c r="M71" s="176">
        <v>42675</v>
      </c>
      <c r="N71" s="176"/>
      <c r="O71" s="176">
        <v>42948</v>
      </c>
      <c r="P71" s="12">
        <v>60</v>
      </c>
      <c r="Q71" s="28">
        <v>60</v>
      </c>
      <c r="R71" s="80">
        <v>1000000</v>
      </c>
      <c r="S71" s="30" t="s">
        <v>158</v>
      </c>
      <c r="T71" s="12" t="s">
        <v>54</v>
      </c>
      <c r="U71" s="4"/>
      <c r="V71" s="4"/>
      <c r="W71" s="12" t="s">
        <v>2616</v>
      </c>
      <c r="X71" s="5" t="s">
        <v>219</v>
      </c>
      <c r="Y71" s="5" t="s">
        <v>457</v>
      </c>
      <c r="Z71" s="5"/>
      <c r="AA71" s="5"/>
      <c r="AB71" s="28"/>
      <c r="AC71" s="8" t="s">
        <v>2653</v>
      </c>
      <c r="AD71" s="141"/>
      <c r="AE71" s="27"/>
      <c r="AF71"/>
    </row>
    <row r="72" spans="1:32" s="1" customFormat="1" ht="60.75" customHeight="1">
      <c r="A72" s="454"/>
      <c r="B72" s="1" t="s">
        <v>28</v>
      </c>
      <c r="C72" s="4"/>
      <c r="D72" s="141" t="s">
        <v>29</v>
      </c>
      <c r="E72" s="141"/>
      <c r="F72" s="141"/>
      <c r="G72" s="141"/>
      <c r="H72" s="5" t="s">
        <v>2654</v>
      </c>
      <c r="I72" s="8" t="s">
        <v>64</v>
      </c>
      <c r="J72" s="16" t="s">
        <v>2655</v>
      </c>
      <c r="K72" s="16"/>
      <c r="L72" s="16"/>
      <c r="M72" s="176">
        <v>42826</v>
      </c>
      <c r="N72" s="176"/>
      <c r="O72" s="176">
        <v>42948</v>
      </c>
      <c r="P72" s="12">
        <v>12</v>
      </c>
      <c r="Q72" s="28" t="s">
        <v>108</v>
      </c>
      <c r="R72" s="87">
        <v>446.4</v>
      </c>
      <c r="S72" s="30" t="s">
        <v>2615</v>
      </c>
      <c r="T72" s="11" t="s">
        <v>54</v>
      </c>
      <c r="U72" s="4"/>
      <c r="V72" s="4"/>
      <c r="W72" s="5" t="s">
        <v>2656</v>
      </c>
      <c r="X72" s="12" t="s">
        <v>2617</v>
      </c>
      <c r="Y72" s="5" t="s">
        <v>457</v>
      </c>
      <c r="Z72" s="5"/>
      <c r="AA72" s="5"/>
      <c r="AB72" s="28"/>
      <c r="AC72" s="8" t="s">
        <v>2657</v>
      </c>
      <c r="AD72" s="141"/>
      <c r="AE72" s="27"/>
      <c r="AF72"/>
    </row>
    <row r="73" spans="1:32" s="1" customFormat="1" ht="57.6">
      <c r="A73" s="454"/>
      <c r="B73" s="1" t="s">
        <v>28</v>
      </c>
      <c r="C73" s="4"/>
      <c r="D73" s="141" t="s">
        <v>29</v>
      </c>
      <c r="E73" s="141"/>
      <c r="F73" s="141"/>
      <c r="G73" s="141"/>
      <c r="H73" s="12" t="s">
        <v>70</v>
      </c>
      <c r="I73" s="10" t="s">
        <v>64</v>
      </c>
      <c r="J73" s="16" t="s">
        <v>2658</v>
      </c>
      <c r="K73" s="16"/>
      <c r="L73" s="16"/>
      <c r="M73" s="176">
        <v>42917</v>
      </c>
      <c r="N73" s="176"/>
      <c r="O73" s="176">
        <v>42948</v>
      </c>
      <c r="P73" s="12">
        <v>96</v>
      </c>
      <c r="Q73" s="13" t="s">
        <v>2659</v>
      </c>
      <c r="R73" s="80" t="s">
        <v>35</v>
      </c>
      <c r="S73" s="30" t="s">
        <v>64</v>
      </c>
      <c r="T73" s="12" t="s">
        <v>54</v>
      </c>
      <c r="U73" s="4"/>
      <c r="V73" s="4"/>
      <c r="W73" s="5" t="s">
        <v>2660</v>
      </c>
      <c r="X73" s="12" t="s">
        <v>1053</v>
      </c>
      <c r="Y73" s="5" t="s">
        <v>457</v>
      </c>
      <c r="Z73" s="5"/>
      <c r="AA73" s="5"/>
      <c r="AB73" s="28"/>
      <c r="AC73" s="8" t="s">
        <v>2661</v>
      </c>
      <c r="AD73" s="141"/>
      <c r="AE73" s="27"/>
      <c r="AF73"/>
    </row>
    <row r="74" spans="1:32" ht="100.8">
      <c r="A74" s="888"/>
      <c r="B74" s="1" t="s">
        <v>28</v>
      </c>
      <c r="C74" s="1347"/>
      <c r="D74" s="141" t="s">
        <v>29</v>
      </c>
      <c r="E74" s="141"/>
      <c r="F74" s="141"/>
      <c r="G74" s="141"/>
      <c r="H74" s="5" t="s">
        <v>70</v>
      </c>
      <c r="I74" s="8" t="s">
        <v>34</v>
      </c>
      <c r="J74" s="16" t="s">
        <v>2662</v>
      </c>
      <c r="K74" s="8"/>
      <c r="L74" s="8"/>
      <c r="M74" s="14" t="s">
        <v>37</v>
      </c>
      <c r="N74" s="14"/>
      <c r="O74" s="14">
        <v>42948</v>
      </c>
      <c r="P74" s="12">
        <v>12</v>
      </c>
      <c r="Q74" s="26" t="s">
        <v>108</v>
      </c>
      <c r="R74" s="76">
        <v>18648</v>
      </c>
      <c r="S74" s="30" t="s">
        <v>163</v>
      </c>
      <c r="T74" s="14" t="s">
        <v>54</v>
      </c>
      <c r="U74" s="1347"/>
      <c r="V74" s="1347"/>
      <c r="W74" s="5" t="s">
        <v>2616</v>
      </c>
      <c r="X74" s="5"/>
      <c r="Y74" s="5" t="s">
        <v>457</v>
      </c>
      <c r="Z74" s="5"/>
      <c r="AA74" s="5"/>
      <c r="AB74" s="28"/>
      <c r="AC74" s="8" t="s">
        <v>2663</v>
      </c>
      <c r="AD74" s="141"/>
      <c r="AE74" s="26"/>
    </row>
    <row r="75" spans="1:32" s="1" customFormat="1" ht="100.8">
      <c r="A75" s="888"/>
      <c r="B75" s="1" t="s">
        <v>28</v>
      </c>
      <c r="C75" s="4"/>
      <c r="D75" s="141" t="s">
        <v>29</v>
      </c>
      <c r="E75" s="141"/>
      <c r="F75" s="141"/>
      <c r="G75" s="141"/>
      <c r="H75" s="5" t="s">
        <v>70</v>
      </c>
      <c r="I75" s="8" t="s">
        <v>34</v>
      </c>
      <c r="J75" s="16" t="s">
        <v>2664</v>
      </c>
      <c r="K75" s="16"/>
      <c r="L75" s="16"/>
      <c r="M75" s="176" t="s">
        <v>37</v>
      </c>
      <c r="N75" s="176"/>
      <c r="O75" s="14">
        <v>42948</v>
      </c>
      <c r="P75" s="12">
        <v>12</v>
      </c>
      <c r="Q75" s="28" t="s">
        <v>108</v>
      </c>
      <c r="R75" s="87">
        <v>24105.5</v>
      </c>
      <c r="S75" s="30" t="s">
        <v>163</v>
      </c>
      <c r="T75" s="12" t="s">
        <v>54</v>
      </c>
      <c r="U75" s="4"/>
      <c r="V75" s="4"/>
      <c r="W75" s="5" t="s">
        <v>2616</v>
      </c>
      <c r="X75" s="12"/>
      <c r="Y75" s="5" t="s">
        <v>457</v>
      </c>
      <c r="Z75" s="5"/>
      <c r="AA75" s="5"/>
      <c r="AB75" s="28"/>
      <c r="AC75" s="8" t="s">
        <v>2665</v>
      </c>
      <c r="AD75" s="141"/>
      <c r="AE75" s="27"/>
      <c r="AF75" s="53"/>
    </row>
    <row r="76" spans="1:32" s="53" customFormat="1" ht="55.2">
      <c r="A76" s="852"/>
      <c r="B76" s="712" t="s">
        <v>48</v>
      </c>
      <c r="C76" s="529" t="s">
        <v>1432</v>
      </c>
      <c r="D76" s="727" t="s">
        <v>60</v>
      </c>
      <c r="E76" s="727"/>
      <c r="F76" s="727"/>
      <c r="G76" s="727"/>
      <c r="H76" s="521" t="s">
        <v>127</v>
      </c>
      <c r="I76" s="522" t="s">
        <v>34</v>
      </c>
      <c r="J76" s="1023" t="s">
        <v>1433</v>
      </c>
      <c r="K76" s="522"/>
      <c r="L76" s="523">
        <v>42856</v>
      </c>
      <c r="M76" s="523"/>
      <c r="N76" s="523"/>
      <c r="O76" s="523">
        <v>42948</v>
      </c>
      <c r="P76" s="524">
        <v>12</v>
      </c>
      <c r="Q76" s="769">
        <v>12</v>
      </c>
      <c r="R76" s="525">
        <v>50000</v>
      </c>
      <c r="S76" s="797" t="s">
        <v>1417</v>
      </c>
      <c r="T76" s="527" t="s">
        <v>54</v>
      </c>
      <c r="U76" s="527"/>
      <c r="V76" s="527"/>
      <c r="W76" s="528" t="s">
        <v>511</v>
      </c>
      <c r="X76" s="114"/>
      <c r="Y76" s="114"/>
      <c r="Z76" s="114"/>
      <c r="AA76" s="114"/>
      <c r="AB76" s="180"/>
      <c r="AC76" s="114"/>
      <c r="AD76" s="303"/>
      <c r="AE76" s="180"/>
      <c r="AF76" s="1"/>
    </row>
    <row r="77" spans="1:32" s="1" customFormat="1" ht="55.2">
      <c r="A77" s="852"/>
      <c r="B77" s="712" t="s">
        <v>48</v>
      </c>
      <c r="C77" s="520" t="s">
        <v>43</v>
      </c>
      <c r="D77" s="727" t="s">
        <v>60</v>
      </c>
      <c r="E77" s="727"/>
      <c r="F77" s="727"/>
      <c r="G77" s="727"/>
      <c r="H77" s="521" t="s">
        <v>127</v>
      </c>
      <c r="I77" s="522" t="s">
        <v>34</v>
      </c>
      <c r="J77" s="1023" t="s">
        <v>1486</v>
      </c>
      <c r="K77" s="522"/>
      <c r="L77" s="523">
        <v>42944</v>
      </c>
      <c r="M77" s="523"/>
      <c r="N77" s="523"/>
      <c r="O77" s="523">
        <v>42948</v>
      </c>
      <c r="P77" s="524">
        <v>1</v>
      </c>
      <c r="Q77" s="769">
        <v>1</v>
      </c>
      <c r="R77" s="525">
        <v>2500</v>
      </c>
      <c r="S77" s="790" t="s">
        <v>1412</v>
      </c>
      <c r="T77" s="527" t="s">
        <v>54</v>
      </c>
      <c r="U77" s="527"/>
      <c r="V77" s="527"/>
      <c r="W77" s="528" t="s">
        <v>1487</v>
      </c>
      <c r="X77" s="114"/>
      <c r="Y77" s="114"/>
      <c r="Z77" s="114"/>
      <c r="AA77" s="114"/>
      <c r="AB77" s="180"/>
      <c r="AC77" s="114"/>
      <c r="AD77" s="303"/>
      <c r="AE77" s="180"/>
      <c r="AF77"/>
    </row>
    <row r="78" spans="1:32" s="1" customFormat="1" ht="110.4">
      <c r="A78" s="852"/>
      <c r="B78" s="712" t="s">
        <v>48</v>
      </c>
      <c r="C78" s="530" t="s">
        <v>1382</v>
      </c>
      <c r="D78" s="727" t="s">
        <v>60</v>
      </c>
      <c r="E78" s="727"/>
      <c r="F78" s="727"/>
      <c r="G78" s="727"/>
      <c r="H78" s="521" t="s">
        <v>127</v>
      </c>
      <c r="I78" s="522" t="s">
        <v>34</v>
      </c>
      <c r="J78" s="1023" t="s">
        <v>1383</v>
      </c>
      <c r="K78" s="522"/>
      <c r="L78" s="523">
        <v>42856</v>
      </c>
      <c r="M78" s="523"/>
      <c r="N78" s="523"/>
      <c r="O78" s="523">
        <v>42961</v>
      </c>
      <c r="P78" s="524">
        <v>1</v>
      </c>
      <c r="Q78" s="769">
        <v>1</v>
      </c>
      <c r="R78" s="525">
        <v>400000</v>
      </c>
      <c r="S78" s="790" t="s">
        <v>1372</v>
      </c>
      <c r="T78" s="527" t="s">
        <v>54</v>
      </c>
      <c r="U78" s="527"/>
      <c r="V78" s="527"/>
      <c r="W78" s="528" t="s">
        <v>1384</v>
      </c>
      <c r="X78" s="114"/>
      <c r="Y78" s="114"/>
      <c r="Z78" s="114"/>
      <c r="AA78" s="114"/>
      <c r="AB78" s="180"/>
      <c r="AC78" s="114"/>
      <c r="AD78" s="303"/>
      <c r="AE78" s="180"/>
    </row>
    <row r="79" spans="1:32" ht="110.4">
      <c r="A79" s="852"/>
      <c r="B79" s="712" t="s">
        <v>48</v>
      </c>
      <c r="C79" s="529" t="s">
        <v>1385</v>
      </c>
      <c r="D79" s="727" t="s">
        <v>60</v>
      </c>
      <c r="E79" s="727"/>
      <c r="F79" s="727"/>
      <c r="G79" s="727"/>
      <c r="H79" s="521" t="s">
        <v>127</v>
      </c>
      <c r="I79" s="522" t="s">
        <v>34</v>
      </c>
      <c r="J79" s="1023" t="s">
        <v>1386</v>
      </c>
      <c r="K79" s="522"/>
      <c r="L79" s="523">
        <v>42856</v>
      </c>
      <c r="M79" s="523"/>
      <c r="N79" s="523"/>
      <c r="O79" s="523">
        <v>42961</v>
      </c>
      <c r="P79" s="524">
        <v>2</v>
      </c>
      <c r="Q79" s="769">
        <v>2</v>
      </c>
      <c r="R79" s="525">
        <v>160000</v>
      </c>
      <c r="S79" s="790" t="s">
        <v>1372</v>
      </c>
      <c r="T79" s="527" t="s">
        <v>54</v>
      </c>
      <c r="U79" s="527"/>
      <c r="V79" s="527"/>
      <c r="W79" s="528" t="s">
        <v>1384</v>
      </c>
      <c r="X79" s="114"/>
      <c r="Y79" s="114"/>
      <c r="Z79" s="114"/>
      <c r="AA79" s="114"/>
      <c r="AB79" s="180"/>
      <c r="AC79" s="114"/>
      <c r="AD79" s="303"/>
      <c r="AE79" s="180"/>
      <c r="AF79" s="53"/>
    </row>
    <row r="80" spans="1:32" s="1" customFormat="1" ht="110.4">
      <c r="A80" s="852"/>
      <c r="B80" s="712" t="s">
        <v>48</v>
      </c>
      <c r="C80" s="529" t="s">
        <v>1387</v>
      </c>
      <c r="D80" s="727" t="s">
        <v>60</v>
      </c>
      <c r="E80" s="727"/>
      <c r="F80" s="727"/>
      <c r="G80" s="727"/>
      <c r="H80" s="521" t="s">
        <v>127</v>
      </c>
      <c r="I80" s="522" t="s">
        <v>34</v>
      </c>
      <c r="J80" s="1023" t="s">
        <v>1388</v>
      </c>
      <c r="K80" s="522"/>
      <c r="L80" s="523">
        <v>42927</v>
      </c>
      <c r="M80" s="523"/>
      <c r="N80" s="523"/>
      <c r="O80" s="523">
        <v>42961</v>
      </c>
      <c r="P80" s="524">
        <v>2</v>
      </c>
      <c r="Q80" s="769">
        <v>2</v>
      </c>
      <c r="R80" s="525">
        <v>130000</v>
      </c>
      <c r="S80" s="790" t="s">
        <v>1372</v>
      </c>
      <c r="T80" s="527" t="s">
        <v>54</v>
      </c>
      <c r="U80" s="527"/>
      <c r="V80" s="527"/>
      <c r="W80" s="528" t="s">
        <v>1384</v>
      </c>
      <c r="X80" s="114"/>
      <c r="Y80" s="114"/>
      <c r="Z80" s="114"/>
      <c r="AA80" s="114"/>
      <c r="AB80" s="180"/>
      <c r="AC80" s="114"/>
      <c r="AD80" s="303"/>
      <c r="AE80" s="180"/>
      <c r="AF80" s="53"/>
    </row>
    <row r="81" spans="1:32" s="266" customFormat="1" ht="110.4">
      <c r="A81" s="852"/>
      <c r="B81" s="712" t="s">
        <v>48</v>
      </c>
      <c r="C81" s="529" t="s">
        <v>1389</v>
      </c>
      <c r="D81" s="727" t="s">
        <v>60</v>
      </c>
      <c r="E81" s="727"/>
      <c r="F81" s="727"/>
      <c r="G81" s="727"/>
      <c r="H81" s="521" t="s">
        <v>127</v>
      </c>
      <c r="I81" s="522" t="s">
        <v>34</v>
      </c>
      <c r="J81" s="1023" t="s">
        <v>1390</v>
      </c>
      <c r="K81" s="522"/>
      <c r="L81" s="523">
        <v>42927</v>
      </c>
      <c r="M81" s="523"/>
      <c r="N81" s="523"/>
      <c r="O81" s="523">
        <v>42961</v>
      </c>
      <c r="P81" s="524">
        <v>2</v>
      </c>
      <c r="Q81" s="769">
        <v>2</v>
      </c>
      <c r="R81" s="525">
        <v>100000</v>
      </c>
      <c r="S81" s="790" t="s">
        <v>1372</v>
      </c>
      <c r="T81" s="527" t="s">
        <v>54</v>
      </c>
      <c r="U81" s="527"/>
      <c r="V81" s="527"/>
      <c r="W81" s="528" t="s">
        <v>1384</v>
      </c>
      <c r="X81" s="114"/>
      <c r="Y81" s="114"/>
      <c r="Z81" s="114"/>
      <c r="AA81" s="114"/>
      <c r="AB81" s="180"/>
      <c r="AC81" s="114"/>
      <c r="AD81" s="303"/>
      <c r="AE81" s="180"/>
      <c r="AF81" s="1"/>
    </row>
    <row r="82" spans="1:32" s="1" customFormat="1" ht="78" customHeight="1">
      <c r="A82" s="852"/>
      <c r="B82" s="712" t="s">
        <v>48</v>
      </c>
      <c r="C82" s="529" t="s">
        <v>1458</v>
      </c>
      <c r="D82" s="727" t="s">
        <v>60</v>
      </c>
      <c r="E82" s="727"/>
      <c r="F82" s="727"/>
      <c r="G82" s="727"/>
      <c r="H82" s="521" t="s">
        <v>127</v>
      </c>
      <c r="I82" s="522" t="s">
        <v>34</v>
      </c>
      <c r="J82" s="1023" t="s">
        <v>1459</v>
      </c>
      <c r="K82" s="522"/>
      <c r="L82" s="523">
        <v>42878</v>
      </c>
      <c r="M82" s="523"/>
      <c r="N82" s="523"/>
      <c r="O82" s="523">
        <v>42968</v>
      </c>
      <c r="P82" s="524">
        <v>1</v>
      </c>
      <c r="Q82" s="769">
        <v>1</v>
      </c>
      <c r="R82" s="525">
        <v>50000</v>
      </c>
      <c r="S82" s="790" t="s">
        <v>1372</v>
      </c>
      <c r="T82" s="527" t="s">
        <v>54</v>
      </c>
      <c r="U82" s="527"/>
      <c r="V82" s="527"/>
      <c r="W82" s="528" t="s">
        <v>1381</v>
      </c>
      <c r="X82" s="114"/>
      <c r="Y82" s="114"/>
      <c r="Z82" s="114"/>
      <c r="AA82" s="114"/>
      <c r="AB82" s="180"/>
      <c r="AC82" s="114"/>
      <c r="AD82" s="303"/>
      <c r="AE82" s="180"/>
      <c r="AF82"/>
    </row>
    <row r="83" spans="1:32" ht="43.2">
      <c r="A83" s="852"/>
      <c r="B83" s="1" t="s">
        <v>28</v>
      </c>
      <c r="C83" s="1347"/>
      <c r="D83" s="141" t="s">
        <v>29</v>
      </c>
      <c r="E83" s="141"/>
      <c r="F83" s="141"/>
      <c r="G83" s="141"/>
      <c r="H83" s="5" t="s">
        <v>876</v>
      </c>
      <c r="I83" s="8" t="s">
        <v>64</v>
      </c>
      <c r="J83" s="16" t="s">
        <v>1002</v>
      </c>
      <c r="K83" s="8"/>
      <c r="L83" s="8"/>
      <c r="M83" s="193">
        <v>42795</v>
      </c>
      <c r="N83" s="193"/>
      <c r="O83" s="193">
        <v>42975</v>
      </c>
      <c r="P83" s="5">
        <v>120</v>
      </c>
      <c r="Q83" s="25" t="s">
        <v>2251</v>
      </c>
      <c r="R83" s="785">
        <v>110000</v>
      </c>
      <c r="S83" s="30" t="s">
        <v>163</v>
      </c>
      <c r="T83" s="11" t="s">
        <v>54</v>
      </c>
      <c r="U83" s="1347"/>
      <c r="V83" s="1347"/>
      <c r="W83" s="5" t="s">
        <v>1003</v>
      </c>
      <c r="X83" s="5" t="s">
        <v>2666</v>
      </c>
      <c r="Y83" s="5" t="s">
        <v>457</v>
      </c>
      <c r="Z83" s="5"/>
      <c r="AA83" s="5"/>
      <c r="AB83" s="26"/>
      <c r="AC83" s="8" t="s">
        <v>2667</v>
      </c>
      <c r="AD83" s="141"/>
      <c r="AE83" s="218"/>
    </row>
    <row r="84" spans="1:32" s="1" customFormat="1" ht="55.2">
      <c r="A84" s="852"/>
      <c r="B84" s="712" t="s">
        <v>48</v>
      </c>
      <c r="C84" s="529" t="s">
        <v>1405</v>
      </c>
      <c r="D84" s="727" t="s">
        <v>60</v>
      </c>
      <c r="E84" s="727"/>
      <c r="F84" s="727"/>
      <c r="G84" s="727"/>
      <c r="H84" s="521" t="s">
        <v>127</v>
      </c>
      <c r="I84" s="522" t="s">
        <v>34</v>
      </c>
      <c r="J84" s="1023" t="s">
        <v>1406</v>
      </c>
      <c r="K84" s="522"/>
      <c r="L84" s="523">
        <v>42887</v>
      </c>
      <c r="M84" s="523"/>
      <c r="N84" s="523"/>
      <c r="O84" s="523">
        <v>42978</v>
      </c>
      <c r="P84" s="524">
        <v>43</v>
      </c>
      <c r="Q84" s="524">
        <v>43</v>
      </c>
      <c r="R84" s="525">
        <v>25000</v>
      </c>
      <c r="S84" s="797" t="s">
        <v>1407</v>
      </c>
      <c r="T84" s="527" t="s">
        <v>54</v>
      </c>
      <c r="U84" s="527"/>
      <c r="V84" s="527"/>
      <c r="W84" s="528" t="s">
        <v>1408</v>
      </c>
      <c r="X84" s="114"/>
      <c r="Y84" s="114"/>
      <c r="Z84" s="114"/>
      <c r="AA84" s="114"/>
      <c r="AB84" s="180"/>
      <c r="AC84" s="114"/>
      <c r="AD84" s="303"/>
      <c r="AE84" s="180"/>
      <c r="AF84" s="53"/>
    </row>
    <row r="85" spans="1:32" s="53" customFormat="1" ht="28.8">
      <c r="A85" s="852"/>
      <c r="B85" s="1" t="s">
        <v>28</v>
      </c>
      <c r="C85" s="1347"/>
      <c r="D85" s="141" t="s">
        <v>29</v>
      </c>
      <c r="E85" s="141"/>
      <c r="F85" s="141"/>
      <c r="G85" s="141"/>
      <c r="H85" s="5" t="s">
        <v>81</v>
      </c>
      <c r="I85" s="8" t="s">
        <v>34</v>
      </c>
      <c r="J85" s="16" t="s">
        <v>881</v>
      </c>
      <c r="K85" s="16"/>
      <c r="L85" s="16"/>
      <c r="M85" s="176">
        <v>42795</v>
      </c>
      <c r="N85" s="176"/>
      <c r="O85" s="176">
        <v>42979</v>
      </c>
      <c r="P85" s="12">
        <v>60</v>
      </c>
      <c r="Q85" s="25" t="s">
        <v>2668</v>
      </c>
      <c r="R85" s="18">
        <v>105825</v>
      </c>
      <c r="S85" s="5" t="s">
        <v>163</v>
      </c>
      <c r="T85" s="11" t="s">
        <v>54</v>
      </c>
      <c r="U85" s="1347"/>
      <c r="V85" s="1347"/>
      <c r="W85" s="12" t="s">
        <v>1288</v>
      </c>
      <c r="X85" s="12" t="s">
        <v>2638</v>
      </c>
      <c r="Y85" s="5" t="s">
        <v>457</v>
      </c>
      <c r="Z85" s="5"/>
      <c r="AA85" s="5"/>
      <c r="AB85" s="12"/>
      <c r="AC85" s="13"/>
      <c r="AD85" s="1379"/>
      <c r="AE85" s="218">
        <v>21165</v>
      </c>
      <c r="AF85" s="189"/>
    </row>
    <row r="86" spans="1:32" ht="43.2">
      <c r="A86" s="454"/>
      <c r="B86" s="1" t="s">
        <v>28</v>
      </c>
      <c r="C86" s="1347"/>
      <c r="D86" s="141" t="s">
        <v>29</v>
      </c>
      <c r="E86" s="141"/>
      <c r="F86" s="141"/>
      <c r="G86" s="141"/>
      <c r="H86" s="12" t="s">
        <v>364</v>
      </c>
      <c r="I86" s="10" t="s">
        <v>1059</v>
      </c>
      <c r="J86" s="16" t="s">
        <v>2669</v>
      </c>
      <c r="K86" s="16"/>
      <c r="L86" s="16"/>
      <c r="M86" s="176">
        <v>42900</v>
      </c>
      <c r="N86" s="176"/>
      <c r="O86" s="1328">
        <v>42979</v>
      </c>
      <c r="P86" s="1330">
        <v>4</v>
      </c>
      <c r="Q86" s="1377" t="s">
        <v>100</v>
      </c>
      <c r="R86" s="1381">
        <v>12000</v>
      </c>
      <c r="S86" s="1378" t="s">
        <v>2636</v>
      </c>
      <c r="T86" s="12" t="s">
        <v>54</v>
      </c>
      <c r="U86" s="1347"/>
      <c r="V86" s="1347"/>
      <c r="W86" s="8" t="s">
        <v>2637</v>
      </c>
      <c r="X86" s="12" t="s">
        <v>2638</v>
      </c>
      <c r="Y86" s="5" t="s">
        <v>457</v>
      </c>
      <c r="Z86" s="5"/>
      <c r="AA86" s="26"/>
      <c r="AB86" s="28"/>
      <c r="AC86" s="8" t="s">
        <v>2670</v>
      </c>
      <c r="AD86" s="1379"/>
      <c r="AE86" s="868">
        <v>8870</v>
      </c>
      <c r="AF86" s="53"/>
    </row>
    <row r="87" spans="1:32" s="34" customFormat="1" ht="43.2">
      <c r="A87" s="890"/>
      <c r="B87" s="1" t="s">
        <v>28</v>
      </c>
      <c r="C87" s="1347"/>
      <c r="D87" s="1379" t="s">
        <v>29</v>
      </c>
      <c r="E87" s="1379"/>
      <c r="F87" s="1379"/>
      <c r="G87" s="1379"/>
      <c r="H87" s="1380" t="s">
        <v>364</v>
      </c>
      <c r="I87" s="1380" t="s">
        <v>34</v>
      </c>
      <c r="J87" s="1347" t="s">
        <v>2671</v>
      </c>
      <c r="K87" s="1347"/>
      <c r="L87" s="1347"/>
      <c r="M87" s="1329">
        <v>42909</v>
      </c>
      <c r="N87" s="1329"/>
      <c r="O87" s="90">
        <v>42979</v>
      </c>
      <c r="P87" s="91" t="s">
        <v>1158</v>
      </c>
      <c r="Q87" s="1335" t="s">
        <v>100</v>
      </c>
      <c r="R87" s="92">
        <v>540000</v>
      </c>
      <c r="S87" s="1335" t="s">
        <v>2672</v>
      </c>
      <c r="T87" s="1330"/>
      <c r="U87" s="1347"/>
      <c r="V87" s="1347"/>
      <c r="W87" s="1330" t="s">
        <v>2673</v>
      </c>
      <c r="X87" s="1330" t="s">
        <v>687</v>
      </c>
      <c r="Y87" s="5" t="s">
        <v>457</v>
      </c>
      <c r="Z87" s="5"/>
      <c r="AA87" s="1347"/>
      <c r="AB87" s="1332"/>
      <c r="AC87" s="1382" t="s">
        <v>2674</v>
      </c>
      <c r="AD87" s="141"/>
      <c r="AE87" s="1383"/>
      <c r="AF87" s="1"/>
    </row>
    <row r="88" spans="1:32" s="53" customFormat="1" ht="28.8">
      <c r="A88" s="454"/>
      <c r="B88" s="1" t="s">
        <v>28</v>
      </c>
      <c r="C88" s="167"/>
      <c r="D88" s="141" t="s">
        <v>60</v>
      </c>
      <c r="E88" s="141"/>
      <c r="F88" s="141"/>
      <c r="G88" s="141"/>
      <c r="H88" s="5" t="s">
        <v>2602</v>
      </c>
      <c r="I88" s="8" t="s">
        <v>2560</v>
      </c>
      <c r="J88" s="16" t="s">
        <v>2675</v>
      </c>
      <c r="K88" s="16"/>
      <c r="L88" s="16"/>
      <c r="M88" s="193">
        <v>42917</v>
      </c>
      <c r="N88" s="193"/>
      <c r="O88" s="176">
        <v>42979</v>
      </c>
      <c r="P88" s="12">
        <v>7</v>
      </c>
      <c r="Q88" s="146" t="s">
        <v>2676</v>
      </c>
      <c r="R88" s="18">
        <v>20000</v>
      </c>
      <c r="S88" s="20" t="s">
        <v>1354</v>
      </c>
      <c r="T88" s="11" t="s">
        <v>54</v>
      </c>
      <c r="U88" s="167"/>
      <c r="V88" s="167"/>
      <c r="W88" s="5" t="s">
        <v>2677</v>
      </c>
      <c r="X88" s="12" t="s">
        <v>234</v>
      </c>
      <c r="Y88" s="5" t="s">
        <v>457</v>
      </c>
      <c r="Z88" s="5"/>
      <c r="AA88" s="5"/>
      <c r="AB88" s="67"/>
      <c r="AC88" s="8" t="s">
        <v>2678</v>
      </c>
      <c r="AD88" s="141"/>
      <c r="AE88" s="218"/>
      <c r="AF88" s="1"/>
    </row>
    <row r="89" spans="1:32" s="53" customFormat="1" ht="28.8">
      <c r="A89" s="891"/>
      <c r="B89" s="1" t="s">
        <v>28</v>
      </c>
      <c r="C89" s="4"/>
      <c r="D89" s="141" t="s">
        <v>29</v>
      </c>
      <c r="E89" s="141"/>
      <c r="F89" s="141"/>
      <c r="G89" s="141"/>
      <c r="H89" s="12" t="s">
        <v>364</v>
      </c>
      <c r="I89" s="10" t="s">
        <v>1059</v>
      </c>
      <c r="J89" s="16" t="s">
        <v>2679</v>
      </c>
      <c r="K89" s="16"/>
      <c r="L89" s="16"/>
      <c r="M89" s="176">
        <v>42923</v>
      </c>
      <c r="N89" s="176"/>
      <c r="O89" s="1328">
        <v>42979</v>
      </c>
      <c r="P89" s="1330">
        <v>12</v>
      </c>
      <c r="Q89" s="1330" t="s">
        <v>100</v>
      </c>
      <c r="R89" s="1381">
        <v>18000</v>
      </c>
      <c r="S89" s="1378" t="s">
        <v>1195</v>
      </c>
      <c r="T89" s="12" t="s">
        <v>54</v>
      </c>
      <c r="U89" s="4"/>
      <c r="V89" s="4"/>
      <c r="W89" s="8" t="s">
        <v>2680</v>
      </c>
      <c r="X89" s="12" t="s">
        <v>2638</v>
      </c>
      <c r="Y89" s="5" t="s">
        <v>457</v>
      </c>
      <c r="Z89" s="5"/>
      <c r="AA89" s="5"/>
      <c r="AB89" s="28"/>
      <c r="AC89" s="8" t="s">
        <v>2681</v>
      </c>
      <c r="AD89" s="1379"/>
      <c r="AE89" s="27"/>
      <c r="AF89"/>
    </row>
    <row r="90" spans="1:32" s="53" customFormat="1">
      <c r="A90" s="454"/>
      <c r="B90" s="1" t="s">
        <v>28</v>
      </c>
      <c r="C90" s="4"/>
      <c r="D90" s="4" t="s">
        <v>29</v>
      </c>
      <c r="E90" s="4"/>
      <c r="F90" s="4"/>
      <c r="G90" s="4"/>
      <c r="H90" s="12" t="s">
        <v>70</v>
      </c>
      <c r="I90" s="10" t="s">
        <v>34</v>
      </c>
      <c r="J90" s="16" t="s">
        <v>2682</v>
      </c>
      <c r="K90" s="16"/>
      <c r="L90" s="16"/>
      <c r="M90" s="176">
        <v>42968</v>
      </c>
      <c r="N90" s="176"/>
      <c r="O90" s="176">
        <v>42979</v>
      </c>
      <c r="P90" s="12">
        <v>12</v>
      </c>
      <c r="Q90" s="13">
        <v>12</v>
      </c>
      <c r="R90" s="80">
        <v>22500</v>
      </c>
      <c r="S90" s="5" t="s">
        <v>1195</v>
      </c>
      <c r="T90" s="12" t="s">
        <v>54</v>
      </c>
      <c r="U90" s="4"/>
      <c r="V90" s="4"/>
      <c r="W90" s="5" t="s">
        <v>1315</v>
      </c>
      <c r="X90" s="12" t="s">
        <v>219</v>
      </c>
      <c r="Y90" s="5" t="s">
        <v>457</v>
      </c>
      <c r="Z90" s="5"/>
      <c r="AA90" s="5"/>
      <c r="AB90" s="28"/>
      <c r="AC90" s="8" t="s">
        <v>2683</v>
      </c>
      <c r="AD90" s="141"/>
      <c r="AE90" s="27">
        <v>22500</v>
      </c>
      <c r="AF90" s="1"/>
    </row>
    <row r="91" spans="1:32" ht="82.8">
      <c r="A91" s="852"/>
      <c r="B91" s="712" t="s">
        <v>48</v>
      </c>
      <c r="C91" s="529" t="s">
        <v>1400</v>
      </c>
      <c r="D91" s="727" t="s">
        <v>60</v>
      </c>
      <c r="E91" s="727"/>
      <c r="F91" s="727"/>
      <c r="G91" s="727"/>
      <c r="H91" s="521" t="s">
        <v>127</v>
      </c>
      <c r="I91" s="522" t="s">
        <v>34</v>
      </c>
      <c r="J91" s="1023" t="s">
        <v>1401</v>
      </c>
      <c r="K91" s="522"/>
      <c r="L91" s="523">
        <v>42856</v>
      </c>
      <c r="M91" s="523"/>
      <c r="N91" s="523"/>
      <c r="O91" s="523">
        <v>42982</v>
      </c>
      <c r="P91" s="524">
        <v>2</v>
      </c>
      <c r="Q91" s="524">
        <v>2</v>
      </c>
      <c r="R91" s="525">
        <v>175000</v>
      </c>
      <c r="S91" s="526" t="s">
        <v>1397</v>
      </c>
      <c r="T91" s="527" t="s">
        <v>54</v>
      </c>
      <c r="U91" s="527"/>
      <c r="V91" s="527"/>
      <c r="W91" s="528" t="s">
        <v>1402</v>
      </c>
      <c r="X91" s="114"/>
      <c r="Y91" s="114"/>
      <c r="Z91" s="114"/>
      <c r="AA91" s="114"/>
      <c r="AB91" s="180"/>
      <c r="AC91" s="114"/>
      <c r="AD91" s="303"/>
      <c r="AE91" s="180"/>
      <c r="AF91" s="53"/>
    </row>
    <row r="92" spans="1:32" s="53" customFormat="1" ht="82.8">
      <c r="A92" s="852"/>
      <c r="B92" s="712" t="s">
        <v>48</v>
      </c>
      <c r="C92" s="532" t="s">
        <v>1444</v>
      </c>
      <c r="D92" s="727" t="s">
        <v>60</v>
      </c>
      <c r="E92" s="727"/>
      <c r="F92" s="727"/>
      <c r="G92" s="727"/>
      <c r="H92" s="521" t="s">
        <v>127</v>
      </c>
      <c r="I92" s="522" t="s">
        <v>34</v>
      </c>
      <c r="J92" s="1023" t="s">
        <v>1445</v>
      </c>
      <c r="K92" s="522"/>
      <c r="L92" s="523">
        <v>42944</v>
      </c>
      <c r="M92" s="523"/>
      <c r="N92" s="523"/>
      <c r="O92" s="523">
        <v>42982</v>
      </c>
      <c r="P92" s="533">
        <v>1</v>
      </c>
      <c r="Q92" s="533">
        <v>1</v>
      </c>
      <c r="R92" s="531">
        <v>58000</v>
      </c>
      <c r="S92" s="790" t="s">
        <v>1397</v>
      </c>
      <c r="T92" s="527" t="s">
        <v>54</v>
      </c>
      <c r="U92" s="527"/>
      <c r="V92" s="527"/>
      <c r="W92" s="521"/>
      <c r="X92" s="114"/>
      <c r="Y92" s="114"/>
      <c r="Z92" s="114"/>
      <c r="AA92" s="114"/>
      <c r="AB92" s="180"/>
      <c r="AC92" s="114"/>
      <c r="AD92" s="303"/>
      <c r="AE92" s="180"/>
      <c r="AF92" s="1"/>
    </row>
    <row r="93" spans="1:32" s="53" customFormat="1" ht="172.8">
      <c r="A93" s="454"/>
      <c r="B93" s="1" t="s">
        <v>28</v>
      </c>
      <c r="C93" s="4"/>
      <c r="D93" s="141" t="s">
        <v>29</v>
      </c>
      <c r="E93" s="141"/>
      <c r="F93" s="141"/>
      <c r="G93" s="141"/>
      <c r="H93" s="5" t="s">
        <v>70</v>
      </c>
      <c r="I93" s="8" t="s">
        <v>2684</v>
      </c>
      <c r="J93" s="16" t="s">
        <v>2685</v>
      </c>
      <c r="K93" s="8"/>
      <c r="L93" s="8"/>
      <c r="M93" s="176">
        <v>42947</v>
      </c>
      <c r="N93" s="176"/>
      <c r="O93" s="176">
        <v>42989</v>
      </c>
      <c r="P93" s="12" t="s">
        <v>35</v>
      </c>
      <c r="Q93" s="7" t="s">
        <v>35</v>
      </c>
      <c r="R93" s="18" t="s">
        <v>35</v>
      </c>
      <c r="S93" s="200" t="s">
        <v>2648</v>
      </c>
      <c r="T93" s="11" t="s">
        <v>54</v>
      </c>
      <c r="U93" s="4"/>
      <c r="V93" s="4"/>
      <c r="W93" s="5" t="s">
        <v>1015</v>
      </c>
      <c r="X93" s="5" t="s">
        <v>234</v>
      </c>
      <c r="Y93" s="5" t="s">
        <v>457</v>
      </c>
      <c r="Z93" s="5"/>
      <c r="AA93" s="5"/>
      <c r="AB93" s="26"/>
      <c r="AC93" s="8" t="s">
        <v>2686</v>
      </c>
      <c r="AD93" s="141"/>
      <c r="AE93" s="219"/>
      <c r="AF93" s="1"/>
    </row>
    <row r="94" spans="1:32" s="1" customFormat="1" ht="55.2">
      <c r="A94" s="852"/>
      <c r="B94" s="712" t="s">
        <v>48</v>
      </c>
      <c r="C94" s="529" t="s">
        <v>1434</v>
      </c>
      <c r="D94" s="727" t="s">
        <v>60</v>
      </c>
      <c r="E94" s="727"/>
      <c r="F94" s="727"/>
      <c r="G94" s="727"/>
      <c r="H94" s="521" t="s">
        <v>127</v>
      </c>
      <c r="I94" s="522" t="s">
        <v>34</v>
      </c>
      <c r="J94" s="1023" t="s">
        <v>1435</v>
      </c>
      <c r="K94" s="522"/>
      <c r="L94" s="523">
        <v>42879</v>
      </c>
      <c r="M94" s="523"/>
      <c r="N94" s="523"/>
      <c r="O94" s="523">
        <v>42989</v>
      </c>
      <c r="P94" s="524">
        <v>1</v>
      </c>
      <c r="Q94" s="524">
        <v>1</v>
      </c>
      <c r="R94" s="525">
        <v>30000</v>
      </c>
      <c r="S94" s="527" t="s">
        <v>1417</v>
      </c>
      <c r="T94" s="527" t="s">
        <v>54</v>
      </c>
      <c r="U94" s="527"/>
      <c r="V94" s="527"/>
      <c r="W94" s="528" t="s">
        <v>1381</v>
      </c>
      <c r="X94" s="114"/>
      <c r="Y94" s="114"/>
      <c r="Z94" s="114"/>
      <c r="AA94" s="114"/>
      <c r="AB94" s="180"/>
      <c r="AC94" s="114"/>
      <c r="AD94" s="303"/>
      <c r="AE94" s="180"/>
      <c r="AF94"/>
    </row>
    <row r="95" spans="1:32" ht="82.8">
      <c r="A95" s="852"/>
      <c r="B95" s="712" t="s">
        <v>48</v>
      </c>
      <c r="C95" s="529" t="s">
        <v>1424</v>
      </c>
      <c r="D95" s="521" t="s">
        <v>60</v>
      </c>
      <c r="E95" s="521"/>
      <c r="F95" s="521"/>
      <c r="G95" s="521"/>
      <c r="H95" s="521" t="s">
        <v>127</v>
      </c>
      <c r="I95" s="522" t="s">
        <v>34</v>
      </c>
      <c r="J95" s="1023" t="s">
        <v>1425</v>
      </c>
      <c r="K95" s="522"/>
      <c r="L95" s="523">
        <v>42958</v>
      </c>
      <c r="M95" s="523"/>
      <c r="N95" s="523"/>
      <c r="O95" s="523">
        <v>43003</v>
      </c>
      <c r="P95" s="524">
        <v>1</v>
      </c>
      <c r="Q95" s="769">
        <v>1</v>
      </c>
      <c r="R95" s="531">
        <v>25000</v>
      </c>
      <c r="S95" s="790" t="s">
        <v>1397</v>
      </c>
      <c r="T95" s="527" t="s">
        <v>54</v>
      </c>
      <c r="U95" s="527"/>
      <c r="V95" s="527"/>
      <c r="W95" s="528" t="s">
        <v>1381</v>
      </c>
      <c r="X95" s="114"/>
      <c r="Y95" s="114"/>
      <c r="Z95" s="114"/>
      <c r="AA95" s="114"/>
      <c r="AB95" s="114"/>
      <c r="AC95" s="114"/>
      <c r="AD95" s="303"/>
      <c r="AE95" s="180"/>
      <c r="AF95" s="1"/>
    </row>
    <row r="96" spans="1:32" s="3" customFormat="1" ht="82.8">
      <c r="A96" s="852"/>
      <c r="B96" s="712" t="s">
        <v>48</v>
      </c>
      <c r="C96" s="520" t="s">
        <v>1424</v>
      </c>
      <c r="D96" s="727" t="s">
        <v>60</v>
      </c>
      <c r="E96" s="727"/>
      <c r="F96" s="727"/>
      <c r="G96" s="727"/>
      <c r="H96" s="521" t="s">
        <v>127</v>
      </c>
      <c r="I96" s="522" t="s">
        <v>34</v>
      </c>
      <c r="J96" s="1023" t="s">
        <v>1600</v>
      </c>
      <c r="K96" s="522"/>
      <c r="L96" s="523">
        <v>42958</v>
      </c>
      <c r="M96" s="523"/>
      <c r="N96" s="523"/>
      <c r="O96" s="523">
        <v>43003</v>
      </c>
      <c r="P96" s="524">
        <v>1</v>
      </c>
      <c r="Q96" s="769">
        <v>1</v>
      </c>
      <c r="R96" s="525">
        <v>100000</v>
      </c>
      <c r="S96" s="790" t="s">
        <v>1397</v>
      </c>
      <c r="T96" s="527" t="s">
        <v>54</v>
      </c>
      <c r="U96" s="527"/>
      <c r="V96" s="527"/>
      <c r="W96" s="528" t="s">
        <v>1381</v>
      </c>
      <c r="X96" s="114"/>
      <c r="Y96" s="114"/>
      <c r="Z96" s="114"/>
      <c r="AA96" s="114"/>
      <c r="AB96" s="114"/>
      <c r="AC96" s="114"/>
      <c r="AD96" s="303"/>
      <c r="AE96" s="180"/>
      <c r="AF96" s="266"/>
    </row>
    <row r="97" spans="1:32" ht="28.8">
      <c r="A97" s="1364"/>
      <c r="B97" s="1" t="s">
        <v>28</v>
      </c>
      <c r="C97" s="4"/>
      <c r="D97" s="112" t="s">
        <v>29</v>
      </c>
      <c r="E97" s="112"/>
      <c r="F97" s="112"/>
      <c r="G97" s="112"/>
      <c r="H97" s="5" t="s">
        <v>70</v>
      </c>
      <c r="I97" s="5" t="s">
        <v>34</v>
      </c>
      <c r="J97" s="16" t="s">
        <v>2687</v>
      </c>
      <c r="K97" s="8"/>
      <c r="L97" s="8"/>
      <c r="M97" s="14">
        <v>42767</v>
      </c>
      <c r="N97" s="14"/>
      <c r="O97" s="14">
        <v>43009</v>
      </c>
      <c r="P97" s="12">
        <v>12</v>
      </c>
      <c r="Q97" s="26">
        <v>12</v>
      </c>
      <c r="R97" s="18">
        <v>8394</v>
      </c>
      <c r="S97" s="30" t="s">
        <v>2688</v>
      </c>
      <c r="T97" s="14" t="s">
        <v>54</v>
      </c>
      <c r="U97" s="4"/>
      <c r="V97" s="4"/>
      <c r="W97" s="5" t="s">
        <v>1140</v>
      </c>
      <c r="X97" s="5" t="s">
        <v>2689</v>
      </c>
      <c r="Y97" s="5" t="s">
        <v>457</v>
      </c>
      <c r="Z97" s="5"/>
      <c r="AA97" s="26"/>
      <c r="AB97" s="7"/>
      <c r="AC97" s="8" t="s">
        <v>2690</v>
      </c>
      <c r="AD97" s="141"/>
      <c r="AE97" s="218"/>
      <c r="AF97" s="1"/>
    </row>
    <row r="98" spans="1:32" ht="57.6">
      <c r="A98" s="852"/>
      <c r="B98" s="1" t="s">
        <v>28</v>
      </c>
      <c r="C98" s="4"/>
      <c r="D98" s="141" t="s">
        <v>29</v>
      </c>
      <c r="E98" s="141"/>
      <c r="F98" s="141"/>
      <c r="G98" s="141"/>
      <c r="H98" s="5" t="s">
        <v>70</v>
      </c>
      <c r="I98" s="8" t="s">
        <v>34</v>
      </c>
      <c r="J98" s="16" t="s">
        <v>2687</v>
      </c>
      <c r="K98" s="8"/>
      <c r="L98" s="8"/>
      <c r="M98" s="14">
        <v>42795</v>
      </c>
      <c r="N98" s="14"/>
      <c r="O98" s="14">
        <v>43009</v>
      </c>
      <c r="P98" s="12">
        <v>12</v>
      </c>
      <c r="Q98" s="26" t="s">
        <v>108</v>
      </c>
      <c r="R98" s="76">
        <v>8394</v>
      </c>
      <c r="S98" s="5" t="s">
        <v>1195</v>
      </c>
      <c r="T98" s="14" t="s">
        <v>54</v>
      </c>
      <c r="U98" s="4"/>
      <c r="V98" s="4"/>
      <c r="W98" s="5" t="s">
        <v>2691</v>
      </c>
      <c r="X98" s="5" t="s">
        <v>2599</v>
      </c>
      <c r="Y98" s="5" t="s">
        <v>457</v>
      </c>
      <c r="Z98" s="5"/>
      <c r="AA98" s="5"/>
      <c r="AB98" s="94"/>
      <c r="AC98" s="8" t="s">
        <v>2692</v>
      </c>
      <c r="AD98" s="141"/>
      <c r="AE98" s="26"/>
    </row>
    <row r="99" spans="1:32" s="53" customFormat="1" ht="43.2">
      <c r="A99" s="892"/>
      <c r="B99" s="1" t="s">
        <v>28</v>
      </c>
      <c r="C99" s="4"/>
      <c r="D99" s="141" t="s">
        <v>29</v>
      </c>
      <c r="E99" s="141"/>
      <c r="F99" s="141"/>
      <c r="G99" s="141"/>
      <c r="H99" s="5" t="s">
        <v>81</v>
      </c>
      <c r="I99" s="8" t="s">
        <v>34</v>
      </c>
      <c r="J99" s="16" t="s">
        <v>2693</v>
      </c>
      <c r="K99" s="8"/>
      <c r="L99" s="8"/>
      <c r="M99" s="193">
        <v>42948</v>
      </c>
      <c r="N99" s="193"/>
      <c r="O99" s="176">
        <v>43009</v>
      </c>
      <c r="P99" s="5">
        <v>18</v>
      </c>
      <c r="Q99" s="25" t="s">
        <v>1127</v>
      </c>
      <c r="R99" s="18">
        <v>250000</v>
      </c>
      <c r="S99" s="193" t="s">
        <v>2608</v>
      </c>
      <c r="T99" s="11" t="s">
        <v>54</v>
      </c>
      <c r="U99" s="4"/>
      <c r="V99" s="4"/>
      <c r="W99" s="5" t="s">
        <v>1288</v>
      </c>
      <c r="X99" s="12" t="s">
        <v>2638</v>
      </c>
      <c r="Y99" s="5" t="s">
        <v>457</v>
      </c>
      <c r="Z99" s="5"/>
      <c r="AA99" s="5"/>
      <c r="AB99" s="5"/>
      <c r="AC99" s="8" t="s">
        <v>2694</v>
      </c>
      <c r="AD99" s="141"/>
      <c r="AE99" s="218">
        <v>100000</v>
      </c>
      <c r="AF99" s="1"/>
    </row>
    <row r="100" spans="1:32" s="53" customFormat="1" ht="28.8">
      <c r="A100" s="852"/>
      <c r="B100" s="1" t="s">
        <v>28</v>
      </c>
      <c r="C100" s="4"/>
      <c r="D100" s="112" t="s">
        <v>29</v>
      </c>
      <c r="E100" s="112"/>
      <c r="F100" s="112"/>
      <c r="G100" s="112"/>
      <c r="H100" s="5" t="s">
        <v>2695</v>
      </c>
      <c r="I100" s="5" t="s">
        <v>64</v>
      </c>
      <c r="J100" s="16" t="s">
        <v>1219</v>
      </c>
      <c r="K100" s="16"/>
      <c r="L100" s="16"/>
      <c r="M100" s="176">
        <v>43040</v>
      </c>
      <c r="N100" s="176"/>
      <c r="O100" s="176">
        <v>43009</v>
      </c>
      <c r="P100" s="12">
        <v>48</v>
      </c>
      <c r="Q100" s="25" t="s">
        <v>636</v>
      </c>
      <c r="R100" s="18">
        <v>1600</v>
      </c>
      <c r="S100" s="30" t="s">
        <v>2615</v>
      </c>
      <c r="T100" s="12" t="s">
        <v>54</v>
      </c>
      <c r="U100" s="4"/>
      <c r="V100" s="4"/>
      <c r="W100" s="5" t="s">
        <v>89</v>
      </c>
      <c r="X100" s="12" t="s">
        <v>150</v>
      </c>
      <c r="Y100" s="5" t="s">
        <v>457</v>
      </c>
      <c r="Z100" s="5"/>
      <c r="AA100" s="26"/>
      <c r="AB100" s="7"/>
      <c r="AC100" s="8" t="s">
        <v>2696</v>
      </c>
      <c r="AD100" s="141"/>
      <c r="AE100" s="219"/>
    </row>
    <row r="101" spans="1:32" s="53" customFormat="1" ht="82.8">
      <c r="A101" s="852"/>
      <c r="B101" s="712" t="s">
        <v>48</v>
      </c>
      <c r="C101" s="529" t="s">
        <v>1426</v>
      </c>
      <c r="D101" s="727" t="s">
        <v>60</v>
      </c>
      <c r="E101" s="727"/>
      <c r="F101" s="727"/>
      <c r="G101" s="727"/>
      <c r="H101" s="521" t="s">
        <v>127</v>
      </c>
      <c r="I101" s="522" t="s">
        <v>34</v>
      </c>
      <c r="J101" s="1023" t="s">
        <v>1427</v>
      </c>
      <c r="K101" s="522"/>
      <c r="L101" s="523">
        <v>43010</v>
      </c>
      <c r="M101" s="523"/>
      <c r="N101" s="523"/>
      <c r="O101" s="523">
        <v>43009</v>
      </c>
      <c r="P101" s="524">
        <v>1</v>
      </c>
      <c r="Q101" s="524">
        <v>1</v>
      </c>
      <c r="R101" s="525">
        <v>60000</v>
      </c>
      <c r="S101" s="790" t="s">
        <v>1397</v>
      </c>
      <c r="T101" s="527" t="s">
        <v>54</v>
      </c>
      <c r="U101" s="527"/>
      <c r="V101" s="527"/>
      <c r="W101" s="528" t="s">
        <v>1381</v>
      </c>
      <c r="X101" s="114"/>
      <c r="Y101" s="114"/>
      <c r="Z101" s="114"/>
      <c r="AA101" s="114"/>
      <c r="AB101" s="114"/>
      <c r="AC101" s="114"/>
      <c r="AD101" s="303"/>
      <c r="AE101" s="180"/>
      <c r="AF101"/>
    </row>
    <row r="102" spans="1:32" s="53" customFormat="1" ht="55.2">
      <c r="A102" s="852"/>
      <c r="B102" s="712" t="s">
        <v>48</v>
      </c>
      <c r="C102" s="529" t="s">
        <v>1428</v>
      </c>
      <c r="D102" s="727" t="s">
        <v>60</v>
      </c>
      <c r="E102" s="727"/>
      <c r="F102" s="727"/>
      <c r="G102" s="727"/>
      <c r="H102" s="521" t="s">
        <v>127</v>
      </c>
      <c r="I102" s="522" t="s">
        <v>34</v>
      </c>
      <c r="J102" s="1023" t="s">
        <v>1429</v>
      </c>
      <c r="K102" s="522"/>
      <c r="L102" s="523">
        <v>43010</v>
      </c>
      <c r="M102" s="523"/>
      <c r="N102" s="523"/>
      <c r="O102" s="523">
        <v>43009</v>
      </c>
      <c r="P102" s="524">
        <v>1</v>
      </c>
      <c r="Q102" s="524">
        <v>1</v>
      </c>
      <c r="R102" s="525">
        <v>40000</v>
      </c>
      <c r="S102" s="527" t="s">
        <v>1417</v>
      </c>
      <c r="T102" s="527" t="s">
        <v>54</v>
      </c>
      <c r="U102" s="527"/>
      <c r="V102" s="527"/>
      <c r="W102" s="528" t="s">
        <v>1381</v>
      </c>
      <c r="X102" s="114"/>
      <c r="Y102" s="114"/>
      <c r="Z102" s="114"/>
      <c r="AA102" s="180"/>
      <c r="AB102" s="114"/>
      <c r="AC102" s="114"/>
      <c r="AD102" s="303"/>
      <c r="AE102" s="180"/>
      <c r="AF102" s="34"/>
    </row>
    <row r="103" spans="1:32" s="1" customFormat="1" ht="69">
      <c r="A103" s="852"/>
      <c r="B103" s="712" t="s">
        <v>48</v>
      </c>
      <c r="C103" s="529" t="s">
        <v>1452</v>
      </c>
      <c r="D103" s="727" t="s">
        <v>60</v>
      </c>
      <c r="E103" s="727"/>
      <c r="F103" s="727"/>
      <c r="G103" s="727"/>
      <c r="H103" s="521" t="s">
        <v>127</v>
      </c>
      <c r="I103" s="522" t="s">
        <v>34</v>
      </c>
      <c r="J103" s="1023" t="s">
        <v>1453</v>
      </c>
      <c r="K103" s="522"/>
      <c r="L103" s="523">
        <v>43004</v>
      </c>
      <c r="M103" s="523"/>
      <c r="N103" s="523"/>
      <c r="O103" s="523">
        <v>43010</v>
      </c>
      <c r="P103" s="524">
        <v>3</v>
      </c>
      <c r="Q103" s="769">
        <v>3</v>
      </c>
      <c r="R103" s="525">
        <v>505000</v>
      </c>
      <c r="S103" s="790" t="s">
        <v>1380</v>
      </c>
      <c r="T103" s="527" t="s">
        <v>54</v>
      </c>
      <c r="U103" s="527"/>
      <c r="V103" s="527"/>
      <c r="W103" s="528" t="s">
        <v>1381</v>
      </c>
      <c r="X103" s="114"/>
      <c r="Y103" s="114"/>
      <c r="Z103" s="114"/>
      <c r="AA103" s="114"/>
      <c r="AB103" s="114"/>
      <c r="AC103" s="114"/>
      <c r="AD103" s="303"/>
      <c r="AE103" s="180"/>
      <c r="AF103" s="53"/>
    </row>
    <row r="104" spans="1:32" s="1" customFormat="1" ht="55.2">
      <c r="A104" s="852"/>
      <c r="B104" s="712" t="s">
        <v>48</v>
      </c>
      <c r="C104" s="529" t="s">
        <v>1454</v>
      </c>
      <c r="D104" s="727" t="s">
        <v>60</v>
      </c>
      <c r="E104" s="727"/>
      <c r="F104" s="727"/>
      <c r="G104" s="727"/>
      <c r="H104" s="521" t="s">
        <v>127</v>
      </c>
      <c r="I104" s="522" t="s">
        <v>34</v>
      </c>
      <c r="J104" s="1023" t="s">
        <v>1455</v>
      </c>
      <c r="K104" s="522"/>
      <c r="L104" s="523">
        <v>42872</v>
      </c>
      <c r="M104" s="523"/>
      <c r="N104" s="523"/>
      <c r="O104" s="523">
        <v>43010</v>
      </c>
      <c r="P104" s="524">
        <v>2</v>
      </c>
      <c r="Q104" s="524">
        <v>2</v>
      </c>
      <c r="R104" s="525">
        <v>25000</v>
      </c>
      <c r="S104" s="797" t="s">
        <v>1407</v>
      </c>
      <c r="T104" s="527" t="s">
        <v>54</v>
      </c>
      <c r="U104" s="527"/>
      <c r="V104" s="527"/>
      <c r="W104" s="528" t="s">
        <v>1381</v>
      </c>
      <c r="X104" s="114"/>
      <c r="Y104" s="114"/>
      <c r="Z104" s="114"/>
      <c r="AA104" s="114"/>
      <c r="AB104" s="114"/>
      <c r="AC104" s="114"/>
      <c r="AD104" s="303"/>
      <c r="AE104" s="180"/>
      <c r="AF104" s="53"/>
    </row>
    <row r="105" spans="1:32" s="1" customFormat="1" ht="82.8">
      <c r="A105" s="852"/>
      <c r="B105" s="712" t="s">
        <v>48</v>
      </c>
      <c r="C105" s="529" t="s">
        <v>1395</v>
      </c>
      <c r="D105" s="727" t="s">
        <v>60</v>
      </c>
      <c r="E105" s="727"/>
      <c r="F105" s="727"/>
      <c r="G105" s="727"/>
      <c r="H105" s="521" t="s">
        <v>127</v>
      </c>
      <c r="I105" s="522" t="s">
        <v>34</v>
      </c>
      <c r="J105" s="1023" t="s">
        <v>1396</v>
      </c>
      <c r="K105" s="522"/>
      <c r="L105" s="523">
        <v>42943</v>
      </c>
      <c r="M105" s="523"/>
      <c r="N105" s="523"/>
      <c r="O105" s="523">
        <v>43017</v>
      </c>
      <c r="P105" s="524">
        <v>2</v>
      </c>
      <c r="Q105" s="524">
        <v>2</v>
      </c>
      <c r="R105" s="525">
        <v>250000</v>
      </c>
      <c r="S105" s="790" t="s">
        <v>1397</v>
      </c>
      <c r="T105" s="527" t="s">
        <v>54</v>
      </c>
      <c r="U105" s="527"/>
      <c r="V105" s="527"/>
      <c r="W105" s="521"/>
      <c r="X105" s="114"/>
      <c r="Y105" s="114"/>
      <c r="Z105" s="114"/>
      <c r="AA105" s="114"/>
      <c r="AB105" s="114"/>
      <c r="AC105" s="114"/>
      <c r="AD105" s="303"/>
      <c r="AE105" s="180"/>
      <c r="AF105" s="53"/>
    </row>
    <row r="106" spans="1:32" s="53" customFormat="1" ht="55.2">
      <c r="A106" s="852"/>
      <c r="B106" s="712" t="s">
        <v>48</v>
      </c>
      <c r="C106" s="529" t="s">
        <v>1420</v>
      </c>
      <c r="D106" s="727" t="s">
        <v>60</v>
      </c>
      <c r="E106" s="727"/>
      <c r="F106" s="727"/>
      <c r="G106" s="727"/>
      <c r="H106" s="521" t="s">
        <v>127</v>
      </c>
      <c r="I106" s="522" t="s">
        <v>34</v>
      </c>
      <c r="J106" s="1023" t="s">
        <v>1421</v>
      </c>
      <c r="K106" s="522"/>
      <c r="L106" s="523">
        <v>42872</v>
      </c>
      <c r="M106" s="523"/>
      <c r="N106" s="523"/>
      <c r="O106" s="523">
        <v>43017</v>
      </c>
      <c r="P106" s="524">
        <v>1</v>
      </c>
      <c r="Q106" s="524">
        <v>1</v>
      </c>
      <c r="R106" s="525">
        <v>20000</v>
      </c>
      <c r="S106" s="797" t="s">
        <v>1407</v>
      </c>
      <c r="T106" s="527" t="s">
        <v>54</v>
      </c>
      <c r="U106" s="527"/>
      <c r="V106" s="527"/>
      <c r="W106" s="528" t="s">
        <v>1381</v>
      </c>
      <c r="X106" s="114"/>
      <c r="Y106" s="114"/>
      <c r="Z106" s="114"/>
      <c r="AA106" s="114"/>
      <c r="AB106" s="114"/>
      <c r="AC106" s="114"/>
      <c r="AD106" s="303"/>
      <c r="AE106" s="180"/>
      <c r="AF106"/>
    </row>
    <row r="107" spans="1:32" ht="82.8">
      <c r="A107" s="852"/>
      <c r="B107" s="712" t="s">
        <v>48</v>
      </c>
      <c r="C107" s="529" t="s">
        <v>1460</v>
      </c>
      <c r="D107" s="727" t="s">
        <v>60</v>
      </c>
      <c r="E107" s="727"/>
      <c r="F107" s="727"/>
      <c r="G107" s="727"/>
      <c r="H107" s="521" t="s">
        <v>127</v>
      </c>
      <c r="I107" s="522" t="s">
        <v>34</v>
      </c>
      <c r="J107" s="1023" t="s">
        <v>1461</v>
      </c>
      <c r="K107" s="522"/>
      <c r="L107" s="523">
        <v>42954</v>
      </c>
      <c r="M107" s="523"/>
      <c r="N107" s="523"/>
      <c r="O107" s="523">
        <v>43017</v>
      </c>
      <c r="P107" s="524">
        <v>2</v>
      </c>
      <c r="Q107" s="769">
        <v>2</v>
      </c>
      <c r="R107" s="525">
        <v>200000</v>
      </c>
      <c r="S107" s="790" t="s">
        <v>1397</v>
      </c>
      <c r="T107" s="527" t="s">
        <v>54</v>
      </c>
      <c r="U107" s="527"/>
      <c r="V107" s="527"/>
      <c r="W107" s="528" t="s">
        <v>1381</v>
      </c>
      <c r="X107" s="114"/>
      <c r="Y107" s="114"/>
      <c r="Z107" s="114"/>
      <c r="AA107" s="114"/>
      <c r="AB107" s="114"/>
      <c r="AC107" s="114"/>
      <c r="AD107" s="303"/>
      <c r="AE107" s="180"/>
      <c r="AF107" s="53"/>
    </row>
    <row r="108" spans="1:32" ht="69">
      <c r="A108" s="852"/>
      <c r="B108" s="712" t="s">
        <v>48</v>
      </c>
      <c r="C108" s="529" t="s">
        <v>1409</v>
      </c>
      <c r="D108" s="727" t="s">
        <v>60</v>
      </c>
      <c r="E108" s="727"/>
      <c r="F108" s="727"/>
      <c r="G108" s="727"/>
      <c r="H108" s="521" t="s">
        <v>127</v>
      </c>
      <c r="I108" s="522" t="s">
        <v>34</v>
      </c>
      <c r="J108" s="1023" t="s">
        <v>1410</v>
      </c>
      <c r="K108" s="522"/>
      <c r="L108" s="523">
        <v>42996</v>
      </c>
      <c r="M108" s="523"/>
      <c r="N108" s="523"/>
      <c r="O108" s="523">
        <v>43021</v>
      </c>
      <c r="P108" s="524">
        <v>0</v>
      </c>
      <c r="Q108" s="769">
        <v>0</v>
      </c>
      <c r="R108" s="531">
        <v>10000</v>
      </c>
      <c r="S108" s="790" t="s">
        <v>1380</v>
      </c>
      <c r="T108" s="527" t="s">
        <v>54</v>
      </c>
      <c r="U108" s="527"/>
      <c r="V108" s="527"/>
      <c r="W108" s="528" t="s">
        <v>1381</v>
      </c>
      <c r="X108" s="114"/>
      <c r="Y108" s="114"/>
      <c r="Z108" s="114"/>
      <c r="AA108" s="114"/>
      <c r="AB108" s="114"/>
      <c r="AC108" s="114"/>
      <c r="AD108" s="303"/>
      <c r="AE108" s="180"/>
      <c r="AF108" s="53"/>
    </row>
    <row r="109" spans="1:32" s="53" customFormat="1" ht="65.25" customHeight="1">
      <c r="A109" s="852"/>
      <c r="B109" s="712" t="s">
        <v>48</v>
      </c>
      <c r="C109" s="529" t="s">
        <v>1398</v>
      </c>
      <c r="D109" s="521" t="s">
        <v>60</v>
      </c>
      <c r="E109" s="521"/>
      <c r="F109" s="521"/>
      <c r="G109" s="521"/>
      <c r="H109" s="521" t="s">
        <v>127</v>
      </c>
      <c r="I109" s="522" t="s">
        <v>34</v>
      </c>
      <c r="J109" s="1023" t="s">
        <v>1399</v>
      </c>
      <c r="K109" s="522"/>
      <c r="L109" s="523">
        <v>42964</v>
      </c>
      <c r="M109" s="523"/>
      <c r="N109" s="523"/>
      <c r="O109" s="523">
        <v>43024</v>
      </c>
      <c r="P109" s="524">
        <v>2</v>
      </c>
      <c r="Q109" s="769">
        <v>2</v>
      </c>
      <c r="R109" s="525">
        <v>450000</v>
      </c>
      <c r="S109" s="790" t="s">
        <v>1397</v>
      </c>
      <c r="T109" s="527" t="s">
        <v>54</v>
      </c>
      <c r="U109" s="527"/>
      <c r="V109" s="527"/>
      <c r="W109" s="528" t="s">
        <v>1381</v>
      </c>
      <c r="X109" s="114"/>
      <c r="Y109" s="114"/>
      <c r="Z109" s="114"/>
      <c r="AA109" s="114"/>
      <c r="AB109" s="114"/>
      <c r="AC109" s="114"/>
      <c r="AD109" s="303"/>
      <c r="AE109" s="180"/>
      <c r="AF109" s="1"/>
    </row>
    <row r="110" spans="1:32" s="53" customFormat="1" ht="43.2">
      <c r="A110" s="852"/>
      <c r="B110" s="1" t="s">
        <v>28</v>
      </c>
      <c r="C110" s="4"/>
      <c r="D110" s="141" t="s">
        <v>29</v>
      </c>
      <c r="E110" s="141"/>
      <c r="F110" s="141"/>
      <c r="G110" s="141"/>
      <c r="H110" s="5" t="s">
        <v>70</v>
      </c>
      <c r="I110" s="8" t="s">
        <v>64</v>
      </c>
      <c r="J110" s="16" t="s">
        <v>2697</v>
      </c>
      <c r="K110" s="16"/>
      <c r="L110" s="16"/>
      <c r="M110" s="176">
        <v>42736</v>
      </c>
      <c r="N110" s="176"/>
      <c r="O110" s="176">
        <v>43028</v>
      </c>
      <c r="P110" s="12">
        <v>120</v>
      </c>
      <c r="Q110" s="25" t="s">
        <v>2698</v>
      </c>
      <c r="R110" s="18">
        <v>184465</v>
      </c>
      <c r="S110" s="5" t="s">
        <v>98</v>
      </c>
      <c r="T110" s="12" t="s">
        <v>54</v>
      </c>
      <c r="U110" s="4"/>
      <c r="V110" s="4"/>
      <c r="W110" s="5" t="s">
        <v>1140</v>
      </c>
      <c r="X110" s="12" t="s">
        <v>2699</v>
      </c>
      <c r="Y110" s="5" t="s">
        <v>457</v>
      </c>
      <c r="Z110" s="5"/>
      <c r="AA110" s="5"/>
      <c r="AB110" s="12"/>
      <c r="AC110" s="8" t="s">
        <v>2700</v>
      </c>
      <c r="AD110" s="141"/>
      <c r="AE110" s="219"/>
      <c r="AF110"/>
    </row>
    <row r="111" spans="1:32" s="53" customFormat="1" ht="158.4">
      <c r="A111" s="852"/>
      <c r="B111" s="1" t="s">
        <v>28</v>
      </c>
      <c r="C111" s="4"/>
      <c r="D111" s="112" t="s">
        <v>29</v>
      </c>
      <c r="E111" s="112"/>
      <c r="F111" s="112"/>
      <c r="G111" s="112"/>
      <c r="H111" s="5" t="s">
        <v>70</v>
      </c>
      <c r="I111" s="5" t="s">
        <v>34</v>
      </c>
      <c r="J111" s="16" t="s">
        <v>2701</v>
      </c>
      <c r="K111" s="16"/>
      <c r="L111" s="16"/>
      <c r="M111" s="176">
        <v>42736</v>
      </c>
      <c r="N111" s="176"/>
      <c r="O111" s="176">
        <v>43029</v>
      </c>
      <c r="P111" s="12">
        <v>12</v>
      </c>
      <c r="Q111" s="5">
        <v>12</v>
      </c>
      <c r="R111" s="18">
        <v>21962.19</v>
      </c>
      <c r="S111" s="5" t="s">
        <v>2615</v>
      </c>
      <c r="T111" s="12" t="s">
        <v>110</v>
      </c>
      <c r="U111" s="4"/>
      <c r="V111" s="4"/>
      <c r="W111" s="5" t="s">
        <v>113</v>
      </c>
      <c r="X111" s="5" t="s">
        <v>1091</v>
      </c>
      <c r="Y111" s="5" t="s">
        <v>457</v>
      </c>
      <c r="Z111" s="5"/>
      <c r="AA111" s="5"/>
      <c r="AB111" s="7"/>
      <c r="AC111" s="8" t="s">
        <v>2702</v>
      </c>
      <c r="AD111" s="141"/>
      <c r="AE111" s="219">
        <v>11143.38</v>
      </c>
      <c r="AF111" s="3"/>
    </row>
    <row r="112" spans="1:32" ht="55.2">
      <c r="A112" s="852"/>
      <c r="B112" s="712" t="s">
        <v>48</v>
      </c>
      <c r="C112" s="529" t="s">
        <v>1442</v>
      </c>
      <c r="D112" s="727" t="s">
        <v>60</v>
      </c>
      <c r="E112" s="727"/>
      <c r="F112" s="727"/>
      <c r="G112" s="727"/>
      <c r="H112" s="521" t="s">
        <v>127</v>
      </c>
      <c r="I112" s="522" t="s">
        <v>34</v>
      </c>
      <c r="J112" s="1023" t="s">
        <v>1443</v>
      </c>
      <c r="K112" s="522"/>
      <c r="L112" s="523">
        <v>42968</v>
      </c>
      <c r="M112" s="523"/>
      <c r="N112" s="523"/>
      <c r="O112" s="523">
        <v>43035</v>
      </c>
      <c r="P112" s="524">
        <v>0</v>
      </c>
      <c r="Q112" s="524">
        <v>0</v>
      </c>
      <c r="R112" s="525">
        <v>20000</v>
      </c>
      <c r="S112" s="527" t="s">
        <v>1407</v>
      </c>
      <c r="T112" s="527" t="s">
        <v>54</v>
      </c>
      <c r="U112" s="527"/>
      <c r="V112" s="527"/>
      <c r="W112" s="528" t="s">
        <v>1381</v>
      </c>
      <c r="X112" s="114"/>
      <c r="Y112" s="114"/>
      <c r="Z112" s="114"/>
      <c r="AA112" s="114"/>
      <c r="AB112" s="114"/>
      <c r="AC112" s="114"/>
      <c r="AD112" s="303"/>
      <c r="AE112" s="180"/>
    </row>
    <row r="113" spans="1:51" ht="69">
      <c r="A113" s="852"/>
      <c r="B113" s="712" t="s">
        <v>48</v>
      </c>
      <c r="C113" s="520" t="s">
        <v>1503</v>
      </c>
      <c r="D113" s="727" t="s">
        <v>29</v>
      </c>
      <c r="E113" s="727"/>
      <c r="F113" s="727"/>
      <c r="G113" s="727"/>
      <c r="H113" s="521" t="s">
        <v>49</v>
      </c>
      <c r="I113" s="522" t="s">
        <v>34</v>
      </c>
      <c r="J113" s="1023" t="s">
        <v>1504</v>
      </c>
      <c r="K113" s="522"/>
      <c r="L113" s="523">
        <v>43014</v>
      </c>
      <c r="M113" s="523"/>
      <c r="N113" s="523"/>
      <c r="O113" s="523">
        <v>43039</v>
      </c>
      <c r="P113" s="524">
        <v>1</v>
      </c>
      <c r="Q113" s="524">
        <v>1</v>
      </c>
      <c r="R113" s="525">
        <v>100000</v>
      </c>
      <c r="S113" s="526" t="s">
        <v>1466</v>
      </c>
      <c r="T113" s="527" t="s">
        <v>110</v>
      </c>
      <c r="U113" s="527"/>
      <c r="V113" s="527"/>
      <c r="W113" s="528" t="s">
        <v>1505</v>
      </c>
      <c r="X113" s="114"/>
      <c r="Y113" s="114"/>
      <c r="Z113" s="114"/>
      <c r="AA113" s="114"/>
      <c r="AB113" s="114"/>
      <c r="AC113" s="114"/>
      <c r="AD113" s="303"/>
      <c r="AE113" s="180"/>
    </row>
    <row r="114" spans="1:51" s="1" customFormat="1" ht="57.6">
      <c r="A114" s="852"/>
      <c r="B114" s="1" t="s">
        <v>28</v>
      </c>
      <c r="C114" s="1347"/>
      <c r="D114" s="141" t="s">
        <v>29</v>
      </c>
      <c r="E114" s="141"/>
      <c r="F114" s="141"/>
      <c r="G114" s="141"/>
      <c r="H114" s="5" t="s">
        <v>70</v>
      </c>
      <c r="I114" s="8" t="s">
        <v>34</v>
      </c>
      <c r="J114" s="16" t="s">
        <v>2703</v>
      </c>
      <c r="K114" s="8"/>
      <c r="L114" s="8"/>
      <c r="M114" s="14">
        <v>42795</v>
      </c>
      <c r="N114" s="14"/>
      <c r="O114" s="14">
        <v>43040</v>
      </c>
      <c r="P114" s="12">
        <v>12</v>
      </c>
      <c r="Q114" s="5">
        <v>12</v>
      </c>
      <c r="R114" s="76">
        <v>3500</v>
      </c>
      <c r="S114" s="5" t="s">
        <v>1195</v>
      </c>
      <c r="T114" s="14" t="s">
        <v>54</v>
      </c>
      <c r="U114" s="1347"/>
      <c r="V114" s="1347"/>
      <c r="W114" s="5" t="s">
        <v>2704</v>
      </c>
      <c r="X114" s="5" t="s">
        <v>2599</v>
      </c>
      <c r="Y114" s="5" t="s">
        <v>457</v>
      </c>
      <c r="Z114" s="5"/>
      <c r="AA114" s="26"/>
      <c r="AB114" s="13"/>
      <c r="AC114" s="8" t="s">
        <v>2705</v>
      </c>
      <c r="AD114" s="141"/>
      <c r="AE114" s="26"/>
      <c r="AF114" s="53"/>
    </row>
    <row r="115" spans="1:51" s="1" customFormat="1" ht="43.2">
      <c r="A115" s="893"/>
      <c r="B115" s="1" t="s">
        <v>28</v>
      </c>
      <c r="C115" s="1347"/>
      <c r="D115" s="141" t="s">
        <v>29</v>
      </c>
      <c r="E115" s="141"/>
      <c r="F115" s="141"/>
      <c r="G115" s="141"/>
      <c r="H115" s="5" t="s">
        <v>133</v>
      </c>
      <c r="I115" s="10" t="s">
        <v>64</v>
      </c>
      <c r="J115" s="16" t="s">
        <v>826</v>
      </c>
      <c r="K115" s="8"/>
      <c r="L115" s="8"/>
      <c r="M115" s="176">
        <v>42887</v>
      </c>
      <c r="N115" s="176"/>
      <c r="O115" s="176">
        <v>43040</v>
      </c>
      <c r="P115" s="12">
        <v>48</v>
      </c>
      <c r="Q115" s="7" t="s">
        <v>2706</v>
      </c>
      <c r="R115" s="18">
        <v>500000</v>
      </c>
      <c r="S115" s="5" t="s">
        <v>2648</v>
      </c>
      <c r="T115" s="12" t="s">
        <v>54</v>
      </c>
      <c r="U115" s="1347"/>
      <c r="V115" s="1347"/>
      <c r="W115" s="5" t="s">
        <v>828</v>
      </c>
      <c r="X115" s="12" t="s">
        <v>219</v>
      </c>
      <c r="Y115" s="5" t="s">
        <v>457</v>
      </c>
      <c r="Z115" s="5"/>
      <c r="AA115" s="5"/>
      <c r="AB115" s="5"/>
      <c r="AC115" s="8" t="s">
        <v>2707</v>
      </c>
      <c r="AD115" s="141"/>
      <c r="AE115" s="218"/>
      <c r="AF115" s="53"/>
    </row>
    <row r="116" spans="1:51" s="1" customFormat="1" ht="57.6">
      <c r="A116" s="454"/>
      <c r="B116" s="1" t="s">
        <v>28</v>
      </c>
      <c r="C116" s="1347"/>
      <c r="D116" s="4" t="s">
        <v>29</v>
      </c>
      <c r="E116" s="4"/>
      <c r="F116" s="4"/>
      <c r="G116" s="4"/>
      <c r="H116" s="5" t="s">
        <v>867</v>
      </c>
      <c r="I116" s="8" t="s">
        <v>34</v>
      </c>
      <c r="J116" s="16" t="s">
        <v>2708</v>
      </c>
      <c r="K116" s="16"/>
      <c r="L116" s="16"/>
      <c r="M116" s="193">
        <v>42917</v>
      </c>
      <c r="N116" s="193"/>
      <c r="O116" s="176">
        <v>43040</v>
      </c>
      <c r="P116" s="12">
        <v>36</v>
      </c>
      <c r="Q116" s="146" t="s">
        <v>191</v>
      </c>
      <c r="R116" s="18">
        <v>80000</v>
      </c>
      <c r="S116" s="12" t="s">
        <v>163</v>
      </c>
      <c r="T116" s="11" t="s">
        <v>54</v>
      </c>
      <c r="U116" s="1347"/>
      <c r="V116" s="1347"/>
      <c r="W116" s="5" t="s">
        <v>2691</v>
      </c>
      <c r="X116" s="12" t="s">
        <v>234</v>
      </c>
      <c r="Y116" s="5" t="s">
        <v>457</v>
      </c>
      <c r="Z116" s="5"/>
      <c r="AA116" s="5"/>
      <c r="AB116" s="4"/>
      <c r="AC116" s="8" t="s">
        <v>2709</v>
      </c>
      <c r="AD116" s="141"/>
      <c r="AE116" s="218">
        <v>120000</v>
      </c>
      <c r="AF116" s="53"/>
    </row>
    <row r="117" spans="1:51" ht="43.2">
      <c r="A117" s="454"/>
      <c r="B117" s="1" t="s">
        <v>28</v>
      </c>
      <c r="C117" s="1347"/>
      <c r="D117" s="141" t="s">
        <v>60</v>
      </c>
      <c r="E117" s="141"/>
      <c r="F117" s="141"/>
      <c r="G117" s="141"/>
      <c r="H117" s="5" t="s">
        <v>260</v>
      </c>
      <c r="I117" s="8" t="s">
        <v>34</v>
      </c>
      <c r="J117" s="16" t="s">
        <v>2710</v>
      </c>
      <c r="K117" s="16"/>
      <c r="L117" s="16"/>
      <c r="M117" s="176">
        <v>42927</v>
      </c>
      <c r="N117" s="176"/>
      <c r="O117" s="176">
        <v>43040</v>
      </c>
      <c r="P117" s="12">
        <v>36</v>
      </c>
      <c r="Q117" s="25"/>
      <c r="R117" s="18">
        <v>21300</v>
      </c>
      <c r="S117" s="30" t="s">
        <v>2688</v>
      </c>
      <c r="T117" s="12" t="s">
        <v>110</v>
      </c>
      <c r="U117" s="1347"/>
      <c r="V117" s="1347"/>
      <c r="W117" s="5" t="s">
        <v>233</v>
      </c>
      <c r="X117" s="12" t="s">
        <v>2638</v>
      </c>
      <c r="Y117" s="5" t="s">
        <v>457</v>
      </c>
      <c r="Z117" s="5"/>
      <c r="AA117" s="5"/>
      <c r="AB117" s="12"/>
      <c r="AC117" s="8" t="s">
        <v>2711</v>
      </c>
      <c r="AD117" s="1379"/>
      <c r="AE117" s="219"/>
      <c r="AF117" s="53"/>
    </row>
    <row r="118" spans="1:51" s="281" customFormat="1" ht="43.2">
      <c r="A118" s="852"/>
      <c r="B118" s="1" t="s">
        <v>28</v>
      </c>
      <c r="C118" s="1347"/>
      <c r="D118" s="141" t="s">
        <v>60</v>
      </c>
      <c r="E118" s="141"/>
      <c r="F118" s="141"/>
      <c r="G118" s="141"/>
      <c r="H118" s="5"/>
      <c r="I118" s="8" t="s">
        <v>34</v>
      </c>
      <c r="J118" s="16" t="s">
        <v>2712</v>
      </c>
      <c r="K118" s="16"/>
      <c r="L118" s="16"/>
      <c r="M118" s="176">
        <v>43040</v>
      </c>
      <c r="N118" s="176"/>
      <c r="O118" s="176">
        <v>43040</v>
      </c>
      <c r="P118" s="176" t="s">
        <v>35</v>
      </c>
      <c r="Q118" s="176" t="s">
        <v>35</v>
      </c>
      <c r="R118" s="176" t="s">
        <v>35</v>
      </c>
      <c r="S118" s="16" t="s">
        <v>2713</v>
      </c>
      <c r="T118" s="12" t="s">
        <v>110</v>
      </c>
      <c r="U118" s="1347"/>
      <c r="V118" s="1347"/>
      <c r="W118" s="5" t="s">
        <v>2714</v>
      </c>
      <c r="X118" s="12" t="s">
        <v>1097</v>
      </c>
      <c r="Y118" s="5" t="s">
        <v>457</v>
      </c>
      <c r="Z118" s="5"/>
      <c r="AA118" s="5"/>
      <c r="AB118" s="12"/>
      <c r="AC118" s="8" t="s">
        <v>2715</v>
      </c>
      <c r="AD118" s="1379"/>
      <c r="AE118" s="219"/>
      <c r="AF118" s="1"/>
      <c r="AG118" s="1357"/>
      <c r="AH118" s="1357"/>
      <c r="AI118" s="1357"/>
      <c r="AJ118" s="1357"/>
      <c r="AK118" s="1357"/>
      <c r="AL118" s="1357"/>
      <c r="AM118" s="1357"/>
      <c r="AN118" s="1357"/>
      <c r="AO118" s="1357"/>
      <c r="AP118" s="1357"/>
      <c r="AQ118" s="1357"/>
      <c r="AR118" s="1357"/>
      <c r="AS118" s="1357"/>
      <c r="AT118" s="1357"/>
      <c r="AU118" s="1357"/>
      <c r="AV118" s="1357"/>
      <c r="AW118" s="1357"/>
      <c r="AX118" s="1357"/>
      <c r="AY118" s="1357"/>
    </row>
    <row r="119" spans="1:51" ht="69">
      <c r="A119" s="852"/>
      <c r="B119" s="712" t="s">
        <v>48</v>
      </c>
      <c r="C119" s="529" t="s">
        <v>1403</v>
      </c>
      <c r="D119" s="727" t="s">
        <v>60</v>
      </c>
      <c r="E119" s="727"/>
      <c r="F119" s="727"/>
      <c r="G119" s="727"/>
      <c r="H119" s="521" t="s">
        <v>127</v>
      </c>
      <c r="I119" s="522" t="s">
        <v>34</v>
      </c>
      <c r="J119" s="1023" t="s">
        <v>1404</v>
      </c>
      <c r="K119" s="522"/>
      <c r="L119" s="523">
        <v>43019</v>
      </c>
      <c r="M119" s="523"/>
      <c r="N119" s="523"/>
      <c r="O119" s="523">
        <v>43059</v>
      </c>
      <c r="P119" s="524">
        <v>0.25</v>
      </c>
      <c r="Q119" s="524">
        <v>0.25</v>
      </c>
      <c r="R119" s="525">
        <v>15000</v>
      </c>
      <c r="S119" s="790" t="s">
        <v>1380</v>
      </c>
      <c r="T119" s="527" t="s">
        <v>54</v>
      </c>
      <c r="U119" s="527"/>
      <c r="V119" s="527"/>
      <c r="W119" s="528" t="s">
        <v>1381</v>
      </c>
      <c r="X119" s="114"/>
      <c r="Y119" s="114"/>
      <c r="Z119" s="114"/>
      <c r="AA119" s="114"/>
      <c r="AB119" s="114"/>
      <c r="AC119" s="114"/>
      <c r="AD119" s="303"/>
      <c r="AE119" s="180"/>
      <c r="AF119" s="1"/>
    </row>
    <row r="120" spans="1:51" ht="28.8">
      <c r="A120" s="454"/>
      <c r="B120" s="1" t="s">
        <v>28</v>
      </c>
      <c r="C120" s="4"/>
      <c r="D120" s="141" t="s">
        <v>29</v>
      </c>
      <c r="E120" s="141"/>
      <c r="F120" s="141"/>
      <c r="G120" s="141"/>
      <c r="H120" s="5" t="s">
        <v>70</v>
      </c>
      <c r="I120" s="8" t="s">
        <v>34</v>
      </c>
      <c r="J120" s="16" t="s">
        <v>2716</v>
      </c>
      <c r="K120" s="8"/>
      <c r="L120" s="8"/>
      <c r="M120" s="193">
        <v>43046</v>
      </c>
      <c r="N120" s="193"/>
      <c r="O120" s="193">
        <v>43065</v>
      </c>
      <c r="P120" s="5">
        <v>12</v>
      </c>
      <c r="Q120" s="25" t="s">
        <v>108</v>
      </c>
      <c r="R120" s="18">
        <v>5000</v>
      </c>
      <c r="S120" s="5" t="s">
        <v>2615</v>
      </c>
      <c r="T120" s="11" t="s">
        <v>54</v>
      </c>
      <c r="U120" s="4"/>
      <c r="V120" s="4"/>
      <c r="W120" s="5" t="s">
        <v>971</v>
      </c>
      <c r="X120" s="5" t="s">
        <v>219</v>
      </c>
      <c r="Y120" s="5" t="s">
        <v>457</v>
      </c>
      <c r="Z120" s="5"/>
      <c r="AA120" s="5"/>
      <c r="AB120" s="5"/>
      <c r="AC120" s="8" t="s">
        <v>1246</v>
      </c>
      <c r="AD120" s="141"/>
      <c r="AE120" s="218">
        <v>5000</v>
      </c>
      <c r="AF120" s="1"/>
    </row>
    <row r="121" spans="1:51" s="53" customFormat="1" ht="43.2">
      <c r="A121" s="888"/>
      <c r="B121" s="1" t="s">
        <v>28</v>
      </c>
      <c r="C121" s="1347"/>
      <c r="D121" s="141" t="s">
        <v>29</v>
      </c>
      <c r="E121" s="141"/>
      <c r="F121" s="141"/>
      <c r="G121" s="141"/>
      <c r="H121" s="5" t="s">
        <v>70</v>
      </c>
      <c r="I121" s="8" t="s">
        <v>34</v>
      </c>
      <c r="J121" s="16" t="s">
        <v>2717</v>
      </c>
      <c r="K121" s="16"/>
      <c r="L121" s="16"/>
      <c r="M121" s="176">
        <v>42755</v>
      </c>
      <c r="N121" s="176"/>
      <c r="O121" s="176">
        <v>43070</v>
      </c>
      <c r="P121" s="12">
        <v>48</v>
      </c>
      <c r="Q121" s="12" t="s">
        <v>191</v>
      </c>
      <c r="R121" s="75">
        <v>800000</v>
      </c>
      <c r="S121" s="30" t="s">
        <v>2648</v>
      </c>
      <c r="T121" s="12" t="s">
        <v>54</v>
      </c>
      <c r="U121" s="1347"/>
      <c r="V121" s="1347"/>
      <c r="W121" s="12" t="s">
        <v>2718</v>
      </c>
      <c r="X121" s="12"/>
      <c r="Y121" s="5" t="s">
        <v>457</v>
      </c>
      <c r="Z121" s="5"/>
      <c r="AA121" s="5"/>
      <c r="AB121" s="13"/>
      <c r="AC121" s="8" t="s">
        <v>2719</v>
      </c>
      <c r="AD121" s="141"/>
      <c r="AE121" s="219">
        <v>200000</v>
      </c>
    </row>
    <row r="122" spans="1:51" s="1" customFormat="1" ht="28.8">
      <c r="A122" s="454"/>
      <c r="B122" s="1" t="s">
        <v>28</v>
      </c>
      <c r="C122" s="4"/>
      <c r="D122" s="141" t="s">
        <v>29</v>
      </c>
      <c r="E122" s="141"/>
      <c r="F122" s="141"/>
      <c r="G122" s="141"/>
      <c r="H122" s="5" t="s">
        <v>133</v>
      </c>
      <c r="I122" s="8" t="s">
        <v>34</v>
      </c>
      <c r="J122" s="16" t="s">
        <v>2720</v>
      </c>
      <c r="K122" s="16"/>
      <c r="L122" s="16"/>
      <c r="M122" s="193">
        <v>42826</v>
      </c>
      <c r="N122" s="193"/>
      <c r="O122" s="176">
        <v>43070</v>
      </c>
      <c r="P122" s="12">
        <v>48</v>
      </c>
      <c r="Q122" s="146" t="s">
        <v>298</v>
      </c>
      <c r="R122" s="18">
        <v>182000</v>
      </c>
      <c r="S122" s="20" t="s">
        <v>2721</v>
      </c>
      <c r="T122" s="11" t="s">
        <v>54</v>
      </c>
      <c r="U122" s="4"/>
      <c r="V122" s="4"/>
      <c r="W122" s="5" t="s">
        <v>136</v>
      </c>
      <c r="X122" s="12" t="s">
        <v>234</v>
      </c>
      <c r="Y122" s="5" t="s">
        <v>457</v>
      </c>
      <c r="Z122" s="5"/>
      <c r="AA122" s="5"/>
      <c r="AB122" s="4"/>
      <c r="AC122" s="8" t="s">
        <v>2722</v>
      </c>
      <c r="AD122" s="141"/>
      <c r="AE122" s="218"/>
      <c r="AF122"/>
    </row>
    <row r="123" spans="1:51" s="53" customFormat="1" ht="43.2">
      <c r="A123" s="454"/>
      <c r="B123" s="1" t="s">
        <v>28</v>
      </c>
      <c r="C123" s="4"/>
      <c r="D123" s="141" t="s">
        <v>29</v>
      </c>
      <c r="E123" s="141"/>
      <c r="F123" s="141"/>
      <c r="G123" s="141"/>
      <c r="H123" s="5" t="s">
        <v>2723</v>
      </c>
      <c r="I123" s="8" t="s">
        <v>64</v>
      </c>
      <c r="J123" s="16" t="s">
        <v>229</v>
      </c>
      <c r="K123" s="8"/>
      <c r="L123" s="8"/>
      <c r="M123" s="193">
        <v>42979</v>
      </c>
      <c r="N123" s="193"/>
      <c r="O123" s="193">
        <v>43070</v>
      </c>
      <c r="P123" s="5">
        <v>12</v>
      </c>
      <c r="Q123" s="26">
        <v>12</v>
      </c>
      <c r="R123" s="18">
        <v>50000</v>
      </c>
      <c r="S123" s="5" t="s">
        <v>64</v>
      </c>
      <c r="T123" s="11" t="s">
        <v>54</v>
      </c>
      <c r="U123" s="4"/>
      <c r="V123" s="4"/>
      <c r="W123" s="5" t="s">
        <v>2724</v>
      </c>
      <c r="X123" s="12" t="s">
        <v>68</v>
      </c>
      <c r="Y123" s="5" t="s">
        <v>457</v>
      </c>
      <c r="Z123" s="5"/>
      <c r="AA123" s="5"/>
      <c r="AB123" s="5"/>
      <c r="AC123" s="8" t="s">
        <v>2725</v>
      </c>
      <c r="AD123" s="141"/>
      <c r="AE123" s="218"/>
      <c r="AF123"/>
    </row>
    <row r="124" spans="1:51" s="1" customFormat="1" ht="43.2">
      <c r="A124" s="454"/>
      <c r="B124" s="1" t="s">
        <v>28</v>
      </c>
      <c r="C124" s="4"/>
      <c r="D124" s="141" t="s">
        <v>60</v>
      </c>
      <c r="E124" s="141"/>
      <c r="F124" s="141"/>
      <c r="G124" s="141"/>
      <c r="H124" s="5" t="s">
        <v>260</v>
      </c>
      <c r="I124" s="8" t="s">
        <v>295</v>
      </c>
      <c r="J124" s="16" t="s">
        <v>2726</v>
      </c>
      <c r="K124" s="16"/>
      <c r="L124" s="16"/>
      <c r="M124" s="14">
        <v>42979</v>
      </c>
      <c r="N124" s="14"/>
      <c r="O124" s="14">
        <v>43070</v>
      </c>
      <c r="P124" s="12">
        <v>13</v>
      </c>
      <c r="Q124" s="26">
        <v>13</v>
      </c>
      <c r="R124" s="18">
        <v>33000</v>
      </c>
      <c r="S124" s="30" t="s">
        <v>64</v>
      </c>
      <c r="T124" s="14" t="s">
        <v>54</v>
      </c>
      <c r="U124" s="4"/>
      <c r="V124" s="4"/>
      <c r="W124" s="5" t="s">
        <v>233</v>
      </c>
      <c r="X124" s="12" t="s">
        <v>2638</v>
      </c>
      <c r="Y124" s="68" t="s">
        <v>457</v>
      </c>
      <c r="Z124" s="5"/>
      <c r="AA124" s="5"/>
      <c r="AB124" s="5"/>
      <c r="AC124" s="8" t="s">
        <v>2727</v>
      </c>
      <c r="AD124" s="1379"/>
      <c r="AE124" s="220" t="s">
        <v>100</v>
      </c>
      <c r="AF124" s="53"/>
    </row>
    <row r="125" spans="1:51" s="53" customFormat="1" ht="28.8">
      <c r="A125" s="852"/>
      <c r="B125" s="1" t="s">
        <v>28</v>
      </c>
      <c r="C125" s="4"/>
      <c r="D125" s="141" t="s">
        <v>29</v>
      </c>
      <c r="E125" s="141"/>
      <c r="F125" s="141"/>
      <c r="G125" s="141"/>
      <c r="H125" s="12" t="s">
        <v>70</v>
      </c>
      <c r="I125" s="10" t="s">
        <v>34</v>
      </c>
      <c r="J125" s="16" t="s">
        <v>2728</v>
      </c>
      <c r="K125" s="16"/>
      <c r="L125" s="16"/>
      <c r="M125" s="176">
        <v>43043</v>
      </c>
      <c r="N125" s="176"/>
      <c r="O125" s="176">
        <v>43070</v>
      </c>
      <c r="P125" s="12">
        <v>24</v>
      </c>
      <c r="Q125" s="25" t="s">
        <v>365</v>
      </c>
      <c r="R125" s="18">
        <v>5400</v>
      </c>
      <c r="S125" s="5" t="s">
        <v>109</v>
      </c>
      <c r="T125" s="12" t="s">
        <v>54</v>
      </c>
      <c r="U125" s="4"/>
      <c r="V125" s="4"/>
      <c r="W125" s="12" t="s">
        <v>971</v>
      </c>
      <c r="X125" s="12" t="s">
        <v>219</v>
      </c>
      <c r="Y125" s="5" t="s">
        <v>457</v>
      </c>
      <c r="Z125" s="5"/>
      <c r="AA125" s="5"/>
      <c r="AB125" s="12"/>
      <c r="AC125" s="8" t="s">
        <v>2729</v>
      </c>
      <c r="AD125" s="141"/>
      <c r="AE125" s="219">
        <v>2700</v>
      </c>
    </row>
    <row r="126" spans="1:51" s="53" customFormat="1" ht="52.8">
      <c r="A126" s="852"/>
      <c r="B126" s="712" t="s">
        <v>48</v>
      </c>
      <c r="C126" s="465"/>
      <c r="D126" s="554" t="s">
        <v>60</v>
      </c>
      <c r="E126" s="554"/>
      <c r="F126" s="554"/>
      <c r="G126" s="554"/>
      <c r="H126" s="466" t="s">
        <v>127</v>
      </c>
      <c r="I126" s="474" t="s">
        <v>34</v>
      </c>
      <c r="J126" s="1024" t="s">
        <v>1729</v>
      </c>
      <c r="K126" s="467"/>
      <c r="L126" s="540" t="s">
        <v>1266</v>
      </c>
      <c r="M126" s="540"/>
      <c r="N126" s="540"/>
      <c r="O126" s="540">
        <v>43070</v>
      </c>
      <c r="P126" s="491">
        <v>8</v>
      </c>
      <c r="Q126" s="765">
        <v>8</v>
      </c>
      <c r="R126" s="550">
        <v>3500000</v>
      </c>
      <c r="S126" s="791" t="s">
        <v>98</v>
      </c>
      <c r="T126" s="470" t="s">
        <v>41</v>
      </c>
      <c r="U126" s="470"/>
      <c r="V126" s="470"/>
      <c r="W126" s="466" t="s">
        <v>1730</v>
      </c>
      <c r="X126" s="114"/>
      <c r="Y126" s="114"/>
      <c r="Z126" s="114"/>
      <c r="AA126" s="114"/>
      <c r="AB126" s="114"/>
      <c r="AC126" s="114"/>
      <c r="AD126" s="303"/>
      <c r="AE126" s="180"/>
    </row>
    <row r="127" spans="1:51" s="53" customFormat="1" ht="28.8">
      <c r="A127" s="889"/>
      <c r="B127" s="1" t="s">
        <v>28</v>
      </c>
      <c r="C127" s="4"/>
      <c r="D127" s="141" t="s">
        <v>29</v>
      </c>
      <c r="E127" s="141"/>
      <c r="F127" s="141"/>
      <c r="G127" s="141"/>
      <c r="H127" s="5" t="s">
        <v>1143</v>
      </c>
      <c r="I127" s="8" t="s">
        <v>34</v>
      </c>
      <c r="J127" s="16" t="s">
        <v>2730</v>
      </c>
      <c r="K127" s="16"/>
      <c r="L127" s="16"/>
      <c r="M127" s="193">
        <v>42736</v>
      </c>
      <c r="N127" s="193"/>
      <c r="O127" s="176">
        <v>43101</v>
      </c>
      <c r="P127" s="12">
        <v>48</v>
      </c>
      <c r="Q127" s="146" t="s">
        <v>167</v>
      </c>
      <c r="R127" s="18">
        <v>1000000</v>
      </c>
      <c r="S127" s="20" t="s">
        <v>2608</v>
      </c>
      <c r="T127" s="11" t="s">
        <v>54</v>
      </c>
      <c r="U127" s="4"/>
      <c r="V127" s="4"/>
      <c r="W127" s="5" t="s">
        <v>2731</v>
      </c>
      <c r="X127" s="12" t="s">
        <v>2732</v>
      </c>
      <c r="Y127" s="5" t="s">
        <v>457</v>
      </c>
      <c r="Z127" s="5"/>
      <c r="AA127" s="5"/>
      <c r="AB127" s="4"/>
      <c r="AC127" s="8" t="s">
        <v>2733</v>
      </c>
      <c r="AD127" s="141"/>
      <c r="AE127" s="218"/>
      <c r="AF127"/>
    </row>
    <row r="128" spans="1:51" s="53" customFormat="1" ht="115.2">
      <c r="A128" s="886"/>
      <c r="B128" s="1" t="s">
        <v>28</v>
      </c>
      <c r="C128" s="4"/>
      <c r="D128" s="112" t="s">
        <v>29</v>
      </c>
      <c r="E128" s="112"/>
      <c r="F128" s="112"/>
      <c r="G128" s="112"/>
      <c r="H128" s="5" t="s">
        <v>2695</v>
      </c>
      <c r="I128" s="5" t="s">
        <v>64</v>
      </c>
      <c r="J128" s="16" t="s">
        <v>1089</v>
      </c>
      <c r="K128" s="16"/>
      <c r="L128" s="16"/>
      <c r="M128" s="176">
        <v>42887</v>
      </c>
      <c r="N128" s="176"/>
      <c r="O128" s="176">
        <v>43101</v>
      </c>
      <c r="P128" s="12">
        <v>12</v>
      </c>
      <c r="Q128" s="25" t="s">
        <v>108</v>
      </c>
      <c r="R128" s="18">
        <v>5458</v>
      </c>
      <c r="S128" s="30" t="s">
        <v>2615</v>
      </c>
      <c r="T128" s="12" t="s">
        <v>54</v>
      </c>
      <c r="U128" s="4"/>
      <c r="V128" s="4"/>
      <c r="W128" s="5" t="s">
        <v>2734</v>
      </c>
      <c r="X128" s="5" t="s">
        <v>1091</v>
      </c>
      <c r="Y128" s="5" t="s">
        <v>457</v>
      </c>
      <c r="Z128" s="5"/>
      <c r="AA128" s="12"/>
      <c r="AB128" s="7"/>
      <c r="AC128" s="8" t="s">
        <v>2735</v>
      </c>
      <c r="AD128" s="141"/>
      <c r="AE128" s="219">
        <v>2806</v>
      </c>
      <c r="AF128"/>
    </row>
    <row r="129" spans="1:32" s="1" customFormat="1" ht="29.1" customHeight="1">
      <c r="A129" s="852"/>
      <c r="B129" s="1" t="s">
        <v>28</v>
      </c>
      <c r="C129" s="4"/>
      <c r="D129" s="112" t="s">
        <v>29</v>
      </c>
      <c r="E129" s="112"/>
      <c r="F129" s="112"/>
      <c r="G129" s="112"/>
      <c r="H129" s="5" t="s">
        <v>2695</v>
      </c>
      <c r="I129" s="12" t="s">
        <v>34</v>
      </c>
      <c r="J129" s="16" t="s">
        <v>2736</v>
      </c>
      <c r="K129" s="16"/>
      <c r="L129" s="16"/>
      <c r="M129" s="176">
        <v>42979</v>
      </c>
      <c r="N129" s="176"/>
      <c r="O129" s="176">
        <v>43101</v>
      </c>
      <c r="P129" s="12">
        <v>12</v>
      </c>
      <c r="Q129" s="7" t="s">
        <v>108</v>
      </c>
      <c r="R129" s="18">
        <v>8000</v>
      </c>
      <c r="S129" s="30" t="s">
        <v>2615</v>
      </c>
      <c r="T129" s="12" t="s">
        <v>54</v>
      </c>
      <c r="U129" s="4"/>
      <c r="V129" s="4"/>
      <c r="W129" s="12" t="s">
        <v>113</v>
      </c>
      <c r="X129" s="12" t="s">
        <v>1091</v>
      </c>
      <c r="Y129" s="5" t="s">
        <v>457</v>
      </c>
      <c r="Z129" s="5"/>
      <c r="AA129" s="5"/>
      <c r="AB129" s="7"/>
      <c r="AC129" s="8" t="s">
        <v>2737</v>
      </c>
      <c r="AD129" s="141" t="s">
        <v>37</v>
      </c>
      <c r="AE129" s="219"/>
    </row>
    <row r="130" spans="1:32" s="1" customFormat="1" ht="28.8">
      <c r="A130" s="454"/>
      <c r="B130" s="1" t="s">
        <v>28</v>
      </c>
      <c r="C130" s="4"/>
      <c r="D130" s="141" t="s">
        <v>29</v>
      </c>
      <c r="E130" s="141"/>
      <c r="F130" s="141"/>
      <c r="G130" s="141"/>
      <c r="H130" s="5" t="s">
        <v>2695</v>
      </c>
      <c r="I130" s="8" t="s">
        <v>64</v>
      </c>
      <c r="J130" s="16" t="s">
        <v>2738</v>
      </c>
      <c r="K130" s="8"/>
      <c r="L130" s="8"/>
      <c r="M130" s="193">
        <v>42979</v>
      </c>
      <c r="N130" s="193"/>
      <c r="O130" s="193">
        <v>43101</v>
      </c>
      <c r="P130" s="5">
        <v>120</v>
      </c>
      <c r="Q130" s="25" t="s">
        <v>1285</v>
      </c>
      <c r="R130" s="18">
        <v>25000</v>
      </c>
      <c r="S130" s="30" t="s">
        <v>2739</v>
      </c>
      <c r="T130" s="11"/>
      <c r="U130" s="4"/>
      <c r="V130" s="4"/>
      <c r="W130" s="5" t="s">
        <v>689</v>
      </c>
      <c r="X130" s="12" t="s">
        <v>2585</v>
      </c>
      <c r="Y130" s="5" t="s">
        <v>457</v>
      </c>
      <c r="Z130" s="5"/>
      <c r="AA130" s="26"/>
      <c r="AB130" s="5"/>
      <c r="AC130" s="8" t="s">
        <v>2740</v>
      </c>
      <c r="AD130" s="141"/>
      <c r="AE130" s="218"/>
    </row>
    <row r="131" spans="1:32" s="34" customFormat="1" ht="57.6">
      <c r="A131" s="454"/>
      <c r="B131" s="1" t="s">
        <v>28</v>
      </c>
      <c r="C131" s="198"/>
      <c r="D131" s="181" t="s">
        <v>29</v>
      </c>
      <c r="E131" s="181"/>
      <c r="F131" s="181"/>
      <c r="G131" s="181"/>
      <c r="H131" s="55" t="s">
        <v>70</v>
      </c>
      <c r="I131" s="55" t="s">
        <v>34</v>
      </c>
      <c r="J131" s="743" t="s">
        <v>2741</v>
      </c>
      <c r="K131" s="743"/>
      <c r="L131" s="16"/>
      <c r="M131" s="176">
        <v>43009</v>
      </c>
      <c r="N131" s="176"/>
      <c r="O131" s="212">
        <v>43101</v>
      </c>
      <c r="P131" s="196">
        <v>12</v>
      </c>
      <c r="Q131" s="1174" t="s">
        <v>108</v>
      </c>
      <c r="R131" s="1197">
        <v>1920</v>
      </c>
      <c r="S131" s="55" t="s">
        <v>2615</v>
      </c>
      <c r="T131" s="196" t="s">
        <v>54</v>
      </c>
      <c r="U131" s="198"/>
      <c r="V131" s="198"/>
      <c r="W131" s="55" t="s">
        <v>2742</v>
      </c>
      <c r="X131" s="55" t="s">
        <v>150</v>
      </c>
      <c r="Y131" s="55" t="s">
        <v>457</v>
      </c>
      <c r="Z131" s="5"/>
      <c r="AA131" s="5"/>
      <c r="AB131" s="193">
        <v>43361</v>
      </c>
      <c r="AC131" s="181" t="s">
        <v>2743</v>
      </c>
      <c r="AD131" s="141"/>
      <c r="AE131" s="1260"/>
      <c r="AF131" s="1"/>
    </row>
    <row r="132" spans="1:32" ht="57.6">
      <c r="A132" s="852"/>
      <c r="B132" s="1" t="s">
        <v>28</v>
      </c>
      <c r="C132" s="4"/>
      <c r="D132" s="112" t="s">
        <v>29</v>
      </c>
      <c r="E132" s="112"/>
      <c r="F132" s="112"/>
      <c r="G132" s="112"/>
      <c r="H132" s="5" t="s">
        <v>2695</v>
      </c>
      <c r="I132" s="5" t="s">
        <v>64</v>
      </c>
      <c r="J132" s="16" t="s">
        <v>2744</v>
      </c>
      <c r="K132" s="16"/>
      <c r="L132" s="16"/>
      <c r="M132" s="176">
        <v>43040</v>
      </c>
      <c r="N132" s="176"/>
      <c r="O132" s="176">
        <v>43101</v>
      </c>
      <c r="P132" s="12">
        <v>120</v>
      </c>
      <c r="Q132" s="7" t="s">
        <v>2745</v>
      </c>
      <c r="R132" s="18">
        <v>84000</v>
      </c>
      <c r="S132" s="30" t="s">
        <v>158</v>
      </c>
      <c r="T132" s="12" t="s">
        <v>54</v>
      </c>
      <c r="U132" s="4"/>
      <c r="V132" s="4"/>
      <c r="W132" s="5" t="s">
        <v>89</v>
      </c>
      <c r="X132" s="5" t="s">
        <v>150</v>
      </c>
      <c r="Y132" s="5" t="s">
        <v>457</v>
      </c>
      <c r="Z132" s="5"/>
      <c r="AA132" s="5"/>
      <c r="AB132" s="193" t="s">
        <v>2746</v>
      </c>
      <c r="AC132" s="8" t="s">
        <v>2747</v>
      </c>
      <c r="AD132" s="141"/>
      <c r="AE132" s="219"/>
    </row>
    <row r="133" spans="1:32" s="53" customFormat="1" ht="82.8">
      <c r="A133" s="852"/>
      <c r="B133" s="712" t="s">
        <v>48</v>
      </c>
      <c r="C133" s="520" t="s">
        <v>1481</v>
      </c>
      <c r="D133" s="727" t="s">
        <v>60</v>
      </c>
      <c r="E133" s="727"/>
      <c r="F133" s="727"/>
      <c r="G133" s="727"/>
      <c r="H133" s="521" t="s">
        <v>127</v>
      </c>
      <c r="I133" s="522" t="s">
        <v>34</v>
      </c>
      <c r="J133" s="1023" t="s">
        <v>1482</v>
      </c>
      <c r="K133" s="522"/>
      <c r="L133" s="523">
        <v>43039</v>
      </c>
      <c r="M133" s="523"/>
      <c r="N133" s="523"/>
      <c r="O133" s="523">
        <v>43102</v>
      </c>
      <c r="P133" s="524">
        <v>3</v>
      </c>
      <c r="Q133" s="524">
        <v>3</v>
      </c>
      <c r="R133" s="525">
        <v>500000</v>
      </c>
      <c r="S133" s="526" t="s">
        <v>1397</v>
      </c>
      <c r="T133" s="527" t="s">
        <v>54</v>
      </c>
      <c r="U133" s="527"/>
      <c r="V133" s="527"/>
      <c r="W133" s="528" t="s">
        <v>1478</v>
      </c>
      <c r="X133" s="114"/>
      <c r="Y133" s="114"/>
      <c r="Z133" s="114"/>
      <c r="AA133" s="114"/>
      <c r="AB133" s="114"/>
      <c r="AC133" s="114"/>
      <c r="AD133" s="303"/>
      <c r="AE133" s="180"/>
      <c r="AF133" s="1357"/>
    </row>
    <row r="134" spans="1:32" ht="29.1" customHeight="1">
      <c r="A134" s="852"/>
      <c r="B134" s="712" t="s">
        <v>48</v>
      </c>
      <c r="C134" s="520" t="s">
        <v>1547</v>
      </c>
      <c r="D134" s="727" t="s">
        <v>29</v>
      </c>
      <c r="E134" s="727"/>
      <c r="F134" s="727"/>
      <c r="G134" s="727"/>
      <c r="H134" s="521" t="s">
        <v>49</v>
      </c>
      <c r="I134" s="522" t="s">
        <v>34</v>
      </c>
      <c r="J134" s="1023" t="s">
        <v>1548</v>
      </c>
      <c r="K134" s="522"/>
      <c r="L134" s="523" t="s">
        <v>125</v>
      </c>
      <c r="M134" s="523"/>
      <c r="N134" s="523"/>
      <c r="O134" s="523">
        <v>43105</v>
      </c>
      <c r="P134" s="524">
        <v>4</v>
      </c>
      <c r="Q134" s="524">
        <v>4</v>
      </c>
      <c r="R134" s="525">
        <v>900000</v>
      </c>
      <c r="S134" s="790" t="s">
        <v>1508</v>
      </c>
      <c r="T134" s="527" t="s">
        <v>54</v>
      </c>
      <c r="U134" s="527"/>
      <c r="V134" s="527"/>
      <c r="W134" s="528" t="s">
        <v>406</v>
      </c>
      <c r="X134" s="114"/>
      <c r="Y134" s="114"/>
      <c r="Z134" s="114"/>
      <c r="AA134" s="114"/>
      <c r="AB134" s="114"/>
      <c r="AC134" s="114"/>
      <c r="AD134" s="303"/>
      <c r="AE134" s="180"/>
    </row>
    <row r="135" spans="1:32" s="1" customFormat="1" ht="66.900000000000006" customHeight="1">
      <c r="A135" s="852"/>
      <c r="B135" s="712" t="s">
        <v>48</v>
      </c>
      <c r="C135" s="529" t="s">
        <v>1450</v>
      </c>
      <c r="D135" s="727" t="s">
        <v>60</v>
      </c>
      <c r="E135" s="727"/>
      <c r="F135" s="727"/>
      <c r="G135" s="727"/>
      <c r="H135" s="521" t="s">
        <v>127</v>
      </c>
      <c r="I135" s="522" t="s">
        <v>34</v>
      </c>
      <c r="J135" s="1023" t="s">
        <v>1451</v>
      </c>
      <c r="K135" s="522"/>
      <c r="L135" s="523">
        <v>42856</v>
      </c>
      <c r="M135" s="523"/>
      <c r="N135" s="523"/>
      <c r="O135" s="523">
        <v>43108</v>
      </c>
      <c r="P135" s="524">
        <v>3</v>
      </c>
      <c r="Q135" s="769">
        <v>3</v>
      </c>
      <c r="R135" s="525">
        <v>200000</v>
      </c>
      <c r="S135" s="790" t="s">
        <v>1397</v>
      </c>
      <c r="T135" s="527" t="s">
        <v>54</v>
      </c>
      <c r="U135" s="527"/>
      <c r="V135" s="527"/>
      <c r="W135" s="528" t="s">
        <v>1381</v>
      </c>
      <c r="X135" s="114"/>
      <c r="Y135" s="114"/>
      <c r="Z135" s="114"/>
      <c r="AA135" s="180"/>
      <c r="AB135" s="114"/>
      <c r="AC135" s="114"/>
      <c r="AD135" s="303"/>
      <c r="AE135" s="180"/>
      <c r="AF135"/>
    </row>
    <row r="136" spans="1:32" s="53" customFormat="1" ht="52.8">
      <c r="A136" s="852"/>
      <c r="B136" s="712" t="s">
        <v>48</v>
      </c>
      <c r="C136" s="465" t="s">
        <v>1731</v>
      </c>
      <c r="D136" s="554" t="s">
        <v>60</v>
      </c>
      <c r="E136" s="554"/>
      <c r="F136" s="554"/>
      <c r="G136" s="554"/>
      <c r="H136" s="466" t="s">
        <v>127</v>
      </c>
      <c r="I136" s="474" t="s">
        <v>34</v>
      </c>
      <c r="J136" s="1024" t="s">
        <v>1732</v>
      </c>
      <c r="K136" s="467"/>
      <c r="L136" s="540" t="s">
        <v>1266</v>
      </c>
      <c r="M136" s="540"/>
      <c r="N136" s="540"/>
      <c r="O136" s="540">
        <v>43108</v>
      </c>
      <c r="P136" s="471">
        <v>2</v>
      </c>
      <c r="Q136" s="761">
        <v>2</v>
      </c>
      <c r="R136" s="542">
        <v>440000</v>
      </c>
      <c r="S136" s="791" t="s">
        <v>66</v>
      </c>
      <c r="T136" s="470" t="s">
        <v>54</v>
      </c>
      <c r="U136" s="470"/>
      <c r="V136" s="470"/>
      <c r="W136" s="474" t="s">
        <v>834</v>
      </c>
      <c r="X136" s="114"/>
      <c r="Y136" s="114"/>
      <c r="Z136" s="114"/>
      <c r="AA136" s="114"/>
      <c r="AB136" s="114"/>
      <c r="AC136" s="114"/>
      <c r="AD136" s="303"/>
      <c r="AE136" s="180"/>
    </row>
    <row r="137" spans="1:32" ht="28.8">
      <c r="A137" s="852"/>
      <c r="B137" s="1" t="s">
        <v>28</v>
      </c>
      <c r="C137" s="4"/>
      <c r="D137" s="170" t="s">
        <v>29</v>
      </c>
      <c r="E137" s="170"/>
      <c r="F137" s="170"/>
      <c r="G137" s="170"/>
      <c r="H137" s="5" t="s">
        <v>876</v>
      </c>
      <c r="I137" s="5" t="s">
        <v>2560</v>
      </c>
      <c r="J137" s="16" t="s">
        <v>2748</v>
      </c>
      <c r="K137" s="16"/>
      <c r="L137" s="16"/>
      <c r="M137" s="193">
        <v>43040</v>
      </c>
      <c r="N137" s="193"/>
      <c r="O137" s="193">
        <v>43115</v>
      </c>
      <c r="P137" s="12">
        <v>12</v>
      </c>
      <c r="Q137" s="26">
        <v>12</v>
      </c>
      <c r="R137" s="18">
        <v>80000</v>
      </c>
      <c r="S137" s="30" t="s">
        <v>2608</v>
      </c>
      <c r="T137" s="5" t="s">
        <v>54</v>
      </c>
      <c r="U137" s="4"/>
      <c r="V137" s="4"/>
      <c r="W137" s="5" t="s">
        <v>878</v>
      </c>
      <c r="X137" s="5" t="s">
        <v>150</v>
      </c>
      <c r="Y137" s="5" t="s">
        <v>457</v>
      </c>
      <c r="Z137" s="5"/>
      <c r="AA137" s="5"/>
      <c r="AB137" s="7"/>
      <c r="AC137" s="855" t="s">
        <v>1303</v>
      </c>
      <c r="AD137" s="141"/>
      <c r="AE137" s="218"/>
      <c r="AF137" s="1"/>
    </row>
    <row r="138" spans="1:32" s="1" customFormat="1" ht="28.8">
      <c r="A138" s="852"/>
      <c r="B138" s="1" t="s">
        <v>28</v>
      </c>
      <c r="C138" s="10"/>
      <c r="D138" s="141" t="s">
        <v>29</v>
      </c>
      <c r="E138" s="141"/>
      <c r="F138" s="141"/>
      <c r="G138" s="141"/>
      <c r="H138" s="12" t="s">
        <v>70</v>
      </c>
      <c r="I138" s="10" t="s">
        <v>34</v>
      </c>
      <c r="J138" s="16" t="s">
        <v>2749</v>
      </c>
      <c r="K138" s="16"/>
      <c r="L138" s="16"/>
      <c r="M138" s="176">
        <v>42948</v>
      </c>
      <c r="N138" s="176"/>
      <c r="O138" s="176">
        <v>43119</v>
      </c>
      <c r="P138" s="12">
        <v>60</v>
      </c>
      <c r="Q138" s="25" t="s">
        <v>143</v>
      </c>
      <c r="R138" s="18">
        <v>12000</v>
      </c>
      <c r="S138" s="5" t="s">
        <v>163</v>
      </c>
      <c r="T138" s="12" t="s">
        <v>54</v>
      </c>
      <c r="U138" s="10"/>
      <c r="V138" s="10"/>
      <c r="W138" s="12" t="s">
        <v>2616</v>
      </c>
      <c r="X138" s="5" t="s">
        <v>2689</v>
      </c>
      <c r="Y138" s="5" t="s">
        <v>457</v>
      </c>
      <c r="Z138" s="5"/>
      <c r="AA138" s="26"/>
      <c r="AB138" s="12"/>
      <c r="AC138" s="8" t="s">
        <v>2750</v>
      </c>
      <c r="AD138" s="141"/>
      <c r="AE138" s="219"/>
      <c r="AF138" s="53"/>
    </row>
    <row r="139" spans="1:32" s="53" customFormat="1" ht="82.8">
      <c r="A139" s="852"/>
      <c r="B139" s="712" t="s">
        <v>48</v>
      </c>
      <c r="C139" s="529" t="s">
        <v>1436</v>
      </c>
      <c r="D139" s="727" t="s">
        <v>60</v>
      </c>
      <c r="E139" s="727"/>
      <c r="F139" s="727"/>
      <c r="G139" s="727"/>
      <c r="H139" s="521" t="s">
        <v>127</v>
      </c>
      <c r="I139" s="522" t="s">
        <v>34</v>
      </c>
      <c r="J139" s="1023" t="s">
        <v>1437</v>
      </c>
      <c r="K139" s="522"/>
      <c r="L139" s="523">
        <v>43021</v>
      </c>
      <c r="M139" s="523"/>
      <c r="N139" s="523"/>
      <c r="O139" s="523">
        <v>43122</v>
      </c>
      <c r="P139" s="524">
        <v>2</v>
      </c>
      <c r="Q139" s="769">
        <v>2</v>
      </c>
      <c r="R139" s="525">
        <v>140000</v>
      </c>
      <c r="S139" s="790" t="s">
        <v>1397</v>
      </c>
      <c r="T139" s="527" t="s">
        <v>54</v>
      </c>
      <c r="U139" s="527"/>
      <c r="V139" s="527"/>
      <c r="W139" s="528" t="s">
        <v>1381</v>
      </c>
      <c r="X139" s="114"/>
      <c r="Y139" s="114"/>
      <c r="Z139" s="114"/>
      <c r="AA139" s="114"/>
      <c r="AB139" s="114"/>
      <c r="AC139" s="114"/>
      <c r="AD139" s="303"/>
      <c r="AE139" s="180"/>
      <c r="AF139" s="1"/>
    </row>
    <row r="140" spans="1:32" s="53" customFormat="1" ht="69">
      <c r="A140" s="852"/>
      <c r="B140" s="712" t="s">
        <v>48</v>
      </c>
      <c r="C140" s="520" t="s">
        <v>1510</v>
      </c>
      <c r="D140" s="727" t="s">
        <v>29</v>
      </c>
      <c r="E140" s="727"/>
      <c r="F140" s="727"/>
      <c r="G140" s="727"/>
      <c r="H140" s="521" t="s">
        <v>49</v>
      </c>
      <c r="I140" s="522" t="s">
        <v>34</v>
      </c>
      <c r="J140" s="1023" t="s">
        <v>1511</v>
      </c>
      <c r="K140" s="522"/>
      <c r="L140" s="523">
        <v>43047</v>
      </c>
      <c r="M140" s="523"/>
      <c r="N140" s="523"/>
      <c r="O140" s="523">
        <v>43122</v>
      </c>
      <c r="P140" s="524">
        <v>3</v>
      </c>
      <c r="Q140" s="769">
        <v>3</v>
      </c>
      <c r="R140" s="525">
        <v>130000</v>
      </c>
      <c r="S140" s="526" t="s">
        <v>1466</v>
      </c>
      <c r="T140" s="527" t="s">
        <v>54</v>
      </c>
      <c r="U140" s="527"/>
      <c r="V140" s="527"/>
      <c r="W140" s="528" t="s">
        <v>1468</v>
      </c>
      <c r="X140" s="114"/>
      <c r="Y140" s="114"/>
      <c r="Z140" s="114"/>
      <c r="AA140" s="114"/>
      <c r="AB140" s="114"/>
      <c r="AC140" s="114"/>
      <c r="AD140" s="303"/>
      <c r="AE140" s="180"/>
    </row>
    <row r="141" spans="1:32" s="1" customFormat="1" ht="96" customHeight="1">
      <c r="A141" s="454"/>
      <c r="B141" s="1" t="s">
        <v>28</v>
      </c>
      <c r="C141" s="4"/>
      <c r="D141" s="141" t="s">
        <v>60</v>
      </c>
      <c r="E141" s="141"/>
      <c r="F141" s="141"/>
      <c r="G141" s="141"/>
      <c r="H141" s="5" t="s">
        <v>260</v>
      </c>
      <c r="I141" s="8" t="s">
        <v>34</v>
      </c>
      <c r="J141" s="16" t="s">
        <v>2751</v>
      </c>
      <c r="K141" s="16"/>
      <c r="L141" s="16"/>
      <c r="M141" s="14">
        <v>42887</v>
      </c>
      <c r="N141" s="14"/>
      <c r="O141" s="14">
        <v>43132</v>
      </c>
      <c r="P141" s="12">
        <v>26</v>
      </c>
      <c r="Q141" s="26" t="s">
        <v>2752</v>
      </c>
      <c r="R141" s="18">
        <v>872237</v>
      </c>
      <c r="S141" s="30" t="s">
        <v>109</v>
      </c>
      <c r="T141" s="14" t="s">
        <v>54</v>
      </c>
      <c r="U141" s="4"/>
      <c r="V141" s="4"/>
      <c r="W141" s="5" t="s">
        <v>233</v>
      </c>
      <c r="X141" s="12" t="s">
        <v>2638</v>
      </c>
      <c r="Y141" s="5" t="s">
        <v>457</v>
      </c>
      <c r="Z141" s="5"/>
      <c r="AA141" s="26"/>
      <c r="AB141" s="5"/>
      <c r="AC141" s="8" t="s">
        <v>2753</v>
      </c>
      <c r="AD141" s="141"/>
      <c r="AE141" s="220">
        <v>387661</v>
      </c>
      <c r="AF141" s="53"/>
    </row>
    <row r="142" spans="1:32" s="53" customFormat="1" ht="72" customHeight="1">
      <c r="A142" s="888"/>
      <c r="B142" s="1" t="s">
        <v>28</v>
      </c>
      <c r="C142" s="4"/>
      <c r="D142" s="141" t="s">
        <v>29</v>
      </c>
      <c r="E142" s="141"/>
      <c r="F142" s="141"/>
      <c r="G142" s="141"/>
      <c r="H142" s="5" t="s">
        <v>563</v>
      </c>
      <c r="I142" s="8" t="s">
        <v>34</v>
      </c>
      <c r="J142" s="16" t="s">
        <v>564</v>
      </c>
      <c r="K142" s="8"/>
      <c r="L142" s="8"/>
      <c r="M142" s="193">
        <v>43252</v>
      </c>
      <c r="N142" s="193"/>
      <c r="O142" s="193">
        <v>43132</v>
      </c>
      <c r="P142" s="5">
        <v>60</v>
      </c>
      <c r="Q142" s="26" t="s">
        <v>358</v>
      </c>
      <c r="R142" s="18">
        <v>740000</v>
      </c>
      <c r="S142" s="200" t="s">
        <v>2608</v>
      </c>
      <c r="T142" s="11" t="s">
        <v>54</v>
      </c>
      <c r="U142" s="4"/>
      <c r="V142" s="4"/>
      <c r="W142" s="5" t="s">
        <v>2731</v>
      </c>
      <c r="X142" s="5" t="s">
        <v>2638</v>
      </c>
      <c r="Y142" s="5" t="s">
        <v>457</v>
      </c>
      <c r="Z142" s="5"/>
      <c r="AA142" s="5"/>
      <c r="AB142" s="5"/>
      <c r="AC142" s="8" t="s">
        <v>2754</v>
      </c>
      <c r="AD142" s="141"/>
      <c r="AE142" s="218">
        <v>142000</v>
      </c>
    </row>
    <row r="143" spans="1:32" s="53" customFormat="1" ht="43.2">
      <c r="A143" s="888"/>
      <c r="B143" s="1" t="s">
        <v>28</v>
      </c>
      <c r="C143" s="4"/>
      <c r="D143" s="4" t="s">
        <v>29</v>
      </c>
      <c r="E143" s="4"/>
      <c r="F143" s="4"/>
      <c r="G143" s="4"/>
      <c r="H143" s="5" t="s">
        <v>563</v>
      </c>
      <c r="I143" s="8" t="s">
        <v>34</v>
      </c>
      <c r="J143" s="16" t="s">
        <v>564</v>
      </c>
      <c r="K143" s="8"/>
      <c r="L143" s="8"/>
      <c r="M143" s="193">
        <v>43252</v>
      </c>
      <c r="N143" s="193"/>
      <c r="O143" s="193">
        <v>43132</v>
      </c>
      <c r="P143" s="5">
        <v>60</v>
      </c>
      <c r="Q143" s="5" t="s">
        <v>358</v>
      </c>
      <c r="R143" s="18">
        <v>740000</v>
      </c>
      <c r="S143" s="200" t="s">
        <v>2608</v>
      </c>
      <c r="T143" s="11" t="s">
        <v>54</v>
      </c>
      <c r="U143" s="4"/>
      <c r="V143" s="4"/>
      <c r="W143" s="5" t="s">
        <v>2731</v>
      </c>
      <c r="X143" s="5" t="s">
        <v>2638</v>
      </c>
      <c r="Y143" s="5" t="s">
        <v>457</v>
      </c>
      <c r="Z143" s="5"/>
      <c r="AA143" s="5"/>
      <c r="AB143" s="5"/>
      <c r="AC143" s="8" t="s">
        <v>2754</v>
      </c>
      <c r="AD143" s="141"/>
      <c r="AE143" s="218">
        <v>142000</v>
      </c>
    </row>
    <row r="144" spans="1:32" ht="52.8">
      <c r="A144" s="852"/>
      <c r="B144" s="712" t="s">
        <v>48</v>
      </c>
      <c r="C144" s="559" t="s">
        <v>1788</v>
      </c>
      <c r="D144" s="554" t="s">
        <v>60</v>
      </c>
      <c r="E144" s="554"/>
      <c r="F144" s="554"/>
      <c r="G144" s="554"/>
      <c r="H144" s="466" t="s">
        <v>127</v>
      </c>
      <c r="I144" s="474" t="s">
        <v>34</v>
      </c>
      <c r="J144" s="1024" t="s">
        <v>1789</v>
      </c>
      <c r="K144" s="467"/>
      <c r="L144" s="485" t="s">
        <v>125</v>
      </c>
      <c r="M144" s="485"/>
      <c r="N144" s="485"/>
      <c r="O144" s="485">
        <v>43132</v>
      </c>
      <c r="P144" s="471">
        <v>1</v>
      </c>
      <c r="Q144" s="471">
        <v>1</v>
      </c>
      <c r="R144" s="542">
        <v>30000</v>
      </c>
      <c r="S144" s="791" t="s">
        <v>163</v>
      </c>
      <c r="T144" s="470" t="s">
        <v>54</v>
      </c>
      <c r="U144" s="470"/>
      <c r="V144" s="470"/>
      <c r="W144" s="474" t="s">
        <v>125</v>
      </c>
      <c r="X144" s="114"/>
      <c r="Y144" s="114"/>
      <c r="Z144" s="114"/>
      <c r="AA144" s="114"/>
      <c r="AB144" s="114"/>
      <c r="AC144" s="114"/>
      <c r="AD144" s="303"/>
      <c r="AE144" s="180"/>
      <c r="AF144" s="1"/>
    </row>
    <row r="145" spans="1:32" ht="69">
      <c r="A145" s="852"/>
      <c r="B145" s="712" t="s">
        <v>48</v>
      </c>
      <c r="C145" s="520" t="s">
        <v>1498</v>
      </c>
      <c r="D145" s="727" t="s">
        <v>29</v>
      </c>
      <c r="E145" s="727"/>
      <c r="F145" s="727"/>
      <c r="G145" s="727"/>
      <c r="H145" s="521" t="s">
        <v>49</v>
      </c>
      <c r="I145" s="522" t="s">
        <v>34</v>
      </c>
      <c r="J145" s="1023" t="s">
        <v>1499</v>
      </c>
      <c r="K145" s="522"/>
      <c r="L145" s="523">
        <v>43068</v>
      </c>
      <c r="M145" s="523"/>
      <c r="N145" s="523"/>
      <c r="O145" s="523">
        <v>43133</v>
      </c>
      <c r="P145" s="524">
        <v>6</v>
      </c>
      <c r="Q145" s="769">
        <v>6</v>
      </c>
      <c r="R145" s="525">
        <v>215000</v>
      </c>
      <c r="S145" s="790" t="s">
        <v>1466</v>
      </c>
      <c r="T145" s="527" t="s">
        <v>54</v>
      </c>
      <c r="U145" s="527"/>
      <c r="V145" s="527"/>
      <c r="W145" s="528" t="s">
        <v>875</v>
      </c>
      <c r="X145" s="114"/>
      <c r="Y145" s="114"/>
      <c r="Z145" s="114"/>
      <c r="AA145" s="114"/>
      <c r="AB145" s="114"/>
      <c r="AC145" s="114"/>
      <c r="AD145" s="303"/>
      <c r="AE145" s="180"/>
      <c r="AF145" s="1"/>
    </row>
    <row r="146" spans="1:32" ht="39.6">
      <c r="A146" s="852"/>
      <c r="B146" s="712" t="s">
        <v>48</v>
      </c>
      <c r="C146" s="465" t="s">
        <v>1711</v>
      </c>
      <c r="D146" s="554" t="s">
        <v>29</v>
      </c>
      <c r="E146" s="554"/>
      <c r="F146" s="554"/>
      <c r="G146" s="554"/>
      <c r="H146" s="466" t="s">
        <v>49</v>
      </c>
      <c r="I146" s="474" t="s">
        <v>34</v>
      </c>
      <c r="J146" s="1024" t="s">
        <v>1712</v>
      </c>
      <c r="K146" s="467"/>
      <c r="L146" s="470">
        <v>43102</v>
      </c>
      <c r="M146" s="470"/>
      <c r="N146" s="470"/>
      <c r="O146" s="555">
        <v>43136</v>
      </c>
      <c r="P146" s="471">
        <v>1</v>
      </c>
      <c r="Q146" s="471">
        <v>1</v>
      </c>
      <c r="R146" s="542">
        <v>30000</v>
      </c>
      <c r="S146" s="478" t="s">
        <v>109</v>
      </c>
      <c r="T146" s="470" t="s">
        <v>54</v>
      </c>
      <c r="U146" s="470"/>
      <c r="V146" s="470"/>
      <c r="W146" s="466" t="s">
        <v>1713</v>
      </c>
      <c r="X146" s="114"/>
      <c r="Y146" s="114"/>
      <c r="Z146" s="114"/>
      <c r="AA146" s="114"/>
      <c r="AB146" s="114"/>
      <c r="AC146" s="114"/>
      <c r="AD146" s="303"/>
      <c r="AE146" s="180"/>
      <c r="AF146" s="34"/>
    </row>
    <row r="147" spans="1:32" s="1" customFormat="1" ht="43.2">
      <c r="A147" s="888"/>
      <c r="B147" s="1" t="s">
        <v>28</v>
      </c>
      <c r="C147" s="4"/>
      <c r="D147" s="112" t="s">
        <v>29</v>
      </c>
      <c r="E147" s="112"/>
      <c r="F147" s="112"/>
      <c r="G147" s="112"/>
      <c r="H147" s="5" t="s">
        <v>70</v>
      </c>
      <c r="I147" s="5" t="s">
        <v>64</v>
      </c>
      <c r="J147" s="16" t="s">
        <v>2755</v>
      </c>
      <c r="K147" s="8"/>
      <c r="L147" s="8"/>
      <c r="M147" s="193">
        <v>43125</v>
      </c>
      <c r="N147" s="193"/>
      <c r="O147" s="193">
        <v>43137</v>
      </c>
      <c r="P147" s="5">
        <v>12</v>
      </c>
      <c r="Q147" s="7" t="s">
        <v>1086</v>
      </c>
      <c r="R147" s="18">
        <v>42480</v>
      </c>
      <c r="S147" s="30" t="s">
        <v>163</v>
      </c>
      <c r="T147" s="11" t="s">
        <v>54</v>
      </c>
      <c r="U147" s="4"/>
      <c r="V147" s="4"/>
      <c r="W147" s="5" t="s">
        <v>390</v>
      </c>
      <c r="X147" s="5" t="s">
        <v>1536</v>
      </c>
      <c r="Y147" s="5" t="s">
        <v>457</v>
      </c>
      <c r="Z147" s="5"/>
      <c r="AA147" s="79"/>
      <c r="AB147" s="193">
        <v>43326</v>
      </c>
      <c r="AC147" s="8" t="s">
        <v>2756</v>
      </c>
      <c r="AD147" s="141"/>
      <c r="AE147" s="218">
        <v>14160</v>
      </c>
      <c r="AF147"/>
    </row>
    <row r="148" spans="1:32" ht="82.8">
      <c r="A148" s="852"/>
      <c r="B148" s="712" t="s">
        <v>48</v>
      </c>
      <c r="C148" s="529" t="s">
        <v>1448</v>
      </c>
      <c r="D148" s="727"/>
      <c r="E148" s="727"/>
      <c r="F148" s="727"/>
      <c r="G148" s="727"/>
      <c r="H148" s="521" t="s">
        <v>127</v>
      </c>
      <c r="I148" s="522" t="s">
        <v>34</v>
      </c>
      <c r="J148" s="1023" t="s">
        <v>1449</v>
      </c>
      <c r="K148" s="522"/>
      <c r="L148" s="523">
        <v>43077</v>
      </c>
      <c r="M148" s="523"/>
      <c r="N148" s="523"/>
      <c r="O148" s="523">
        <v>43137</v>
      </c>
      <c r="P148" s="534">
        <v>0.25</v>
      </c>
      <c r="Q148" s="534">
        <v>0.25</v>
      </c>
      <c r="R148" s="525">
        <v>40000</v>
      </c>
      <c r="S148" s="526" t="s">
        <v>1397</v>
      </c>
      <c r="T148" s="527"/>
      <c r="U148" s="527"/>
      <c r="V148" s="527"/>
      <c r="W148" s="528" t="s">
        <v>1381</v>
      </c>
      <c r="X148" s="114"/>
      <c r="Y148" s="114"/>
      <c r="Z148" s="114"/>
      <c r="AA148" s="180"/>
      <c r="AB148" s="114"/>
      <c r="AC148" s="114"/>
      <c r="AD148" s="303"/>
      <c r="AE148" s="180"/>
      <c r="AF148" s="53"/>
    </row>
    <row r="149" spans="1:32" s="53" customFormat="1" ht="69">
      <c r="A149" s="852"/>
      <c r="B149" s="712" t="s">
        <v>48</v>
      </c>
      <c r="C149" s="520" t="s">
        <v>1506</v>
      </c>
      <c r="D149" s="521" t="s">
        <v>29</v>
      </c>
      <c r="E149" s="521"/>
      <c r="F149" s="521"/>
      <c r="G149" s="521"/>
      <c r="H149" s="521" t="s">
        <v>49</v>
      </c>
      <c r="I149" s="522" t="s">
        <v>34</v>
      </c>
      <c r="J149" s="1023" t="s">
        <v>1507</v>
      </c>
      <c r="K149" s="522"/>
      <c r="L149" s="523">
        <v>43047</v>
      </c>
      <c r="M149" s="523"/>
      <c r="N149" s="523"/>
      <c r="O149" s="523">
        <v>43140</v>
      </c>
      <c r="P149" s="524">
        <v>5</v>
      </c>
      <c r="Q149" s="524">
        <v>5</v>
      </c>
      <c r="R149" s="525">
        <v>650000</v>
      </c>
      <c r="S149" s="526" t="s">
        <v>1508</v>
      </c>
      <c r="T149" s="527" t="s">
        <v>54</v>
      </c>
      <c r="U149" s="527"/>
      <c r="V149" s="527"/>
      <c r="W149" s="528" t="s">
        <v>1509</v>
      </c>
      <c r="X149" s="114"/>
      <c r="Y149" s="114"/>
      <c r="Z149" s="114"/>
      <c r="AA149" s="114"/>
      <c r="AB149" s="114"/>
      <c r="AC149" s="114"/>
      <c r="AD149" s="303"/>
      <c r="AE149" s="180"/>
      <c r="AF149"/>
    </row>
    <row r="150" spans="1:32" s="1" customFormat="1" ht="201.6">
      <c r="A150" s="852"/>
      <c r="B150" s="1" t="s">
        <v>28</v>
      </c>
      <c r="C150" s="4"/>
      <c r="D150" s="112" t="s">
        <v>29</v>
      </c>
      <c r="E150" s="112"/>
      <c r="F150" s="112"/>
      <c r="G150" s="112"/>
      <c r="H150" s="5" t="s">
        <v>70</v>
      </c>
      <c r="I150" s="5" t="s">
        <v>34</v>
      </c>
      <c r="J150" s="16" t="s">
        <v>2757</v>
      </c>
      <c r="K150" s="16"/>
      <c r="L150" s="16"/>
      <c r="M150" s="176">
        <v>43040</v>
      </c>
      <c r="N150" s="176"/>
      <c r="O150" s="176">
        <v>43142</v>
      </c>
      <c r="P150" s="12">
        <v>24</v>
      </c>
      <c r="Q150" s="25" t="s">
        <v>365</v>
      </c>
      <c r="R150" s="18">
        <v>16100</v>
      </c>
      <c r="S150" s="30" t="s">
        <v>35</v>
      </c>
      <c r="T150" s="12" t="s">
        <v>110</v>
      </c>
      <c r="U150" s="4"/>
      <c r="V150" s="4"/>
      <c r="W150" s="5" t="s">
        <v>140</v>
      </c>
      <c r="X150" s="5" t="s">
        <v>150</v>
      </c>
      <c r="Y150" s="5" t="s">
        <v>457</v>
      </c>
      <c r="Z150" s="5"/>
      <c r="AA150" s="5"/>
      <c r="AB150" s="193">
        <v>43308</v>
      </c>
      <c r="AC150" s="8" t="s">
        <v>2758</v>
      </c>
      <c r="AD150" s="141"/>
      <c r="AE150" s="219"/>
    </row>
    <row r="151" spans="1:32" s="1" customFormat="1" ht="43.2">
      <c r="A151" s="852"/>
      <c r="B151" s="1" t="s">
        <v>28</v>
      </c>
      <c r="C151" s="4"/>
      <c r="D151" s="112" t="s">
        <v>60</v>
      </c>
      <c r="E151" s="112"/>
      <c r="F151" s="112"/>
      <c r="G151" s="112"/>
      <c r="H151" s="5" t="s">
        <v>260</v>
      </c>
      <c r="I151" s="5" t="s">
        <v>34</v>
      </c>
      <c r="J151" s="16" t="s">
        <v>2759</v>
      </c>
      <c r="K151" s="16"/>
      <c r="L151" s="16"/>
      <c r="M151" s="14">
        <v>43032</v>
      </c>
      <c r="N151" s="14"/>
      <c r="O151" s="14">
        <v>43143</v>
      </c>
      <c r="P151" s="12">
        <v>24</v>
      </c>
      <c r="Q151" s="5" t="s">
        <v>236</v>
      </c>
      <c r="R151" s="18">
        <v>58500</v>
      </c>
      <c r="S151" s="5" t="s">
        <v>163</v>
      </c>
      <c r="T151" s="155" t="s">
        <v>54</v>
      </c>
      <c r="U151" s="4"/>
      <c r="V151" s="4"/>
      <c r="W151" s="5" t="s">
        <v>233</v>
      </c>
      <c r="X151" s="12" t="s">
        <v>1053</v>
      </c>
      <c r="Y151" s="5" t="s">
        <v>457</v>
      </c>
      <c r="Z151" s="5"/>
      <c r="AA151" s="5"/>
      <c r="AB151" s="7"/>
      <c r="AC151" s="8" t="s">
        <v>2760</v>
      </c>
      <c r="AD151" s="141"/>
      <c r="AE151" s="220"/>
      <c r="AF151" s="53"/>
    </row>
    <row r="152" spans="1:32" s="53" customFormat="1" ht="45" customHeight="1">
      <c r="A152" s="852"/>
      <c r="B152" s="712" t="s">
        <v>48</v>
      </c>
      <c r="C152" s="529" t="s">
        <v>1438</v>
      </c>
      <c r="D152" s="727" t="s">
        <v>60</v>
      </c>
      <c r="E152" s="727"/>
      <c r="F152" s="727"/>
      <c r="G152" s="727"/>
      <c r="H152" s="521" t="s">
        <v>127</v>
      </c>
      <c r="I152" s="522" t="s">
        <v>34</v>
      </c>
      <c r="J152" s="1023" t="s">
        <v>1439</v>
      </c>
      <c r="K152" s="522"/>
      <c r="L152" s="523">
        <v>43027</v>
      </c>
      <c r="M152" s="523"/>
      <c r="N152" s="523"/>
      <c r="O152" s="523">
        <v>43143</v>
      </c>
      <c r="P152" s="524">
        <v>1</v>
      </c>
      <c r="Q152" s="769">
        <v>1</v>
      </c>
      <c r="R152" s="525">
        <v>20000</v>
      </c>
      <c r="S152" s="790" t="s">
        <v>1380</v>
      </c>
      <c r="T152" s="527" t="s">
        <v>54</v>
      </c>
      <c r="U152" s="527"/>
      <c r="V152" s="527"/>
      <c r="W152" s="528"/>
      <c r="X152" s="114"/>
      <c r="Y152" s="114"/>
      <c r="Z152" s="114"/>
      <c r="AA152" s="114"/>
      <c r="AB152" s="114"/>
      <c r="AC152" s="114"/>
      <c r="AD152" s="303"/>
      <c r="AE152" s="180"/>
      <c r="AF152"/>
    </row>
    <row r="153" spans="1:32" ht="137.25" customHeight="1">
      <c r="A153" s="852"/>
      <c r="B153" s="712" t="s">
        <v>48</v>
      </c>
      <c r="C153" s="529" t="s">
        <v>1446</v>
      </c>
      <c r="D153" s="521" t="s">
        <v>60</v>
      </c>
      <c r="E153" s="521"/>
      <c r="F153" s="521"/>
      <c r="G153" s="521"/>
      <c r="H153" s="521" t="s">
        <v>127</v>
      </c>
      <c r="I153" s="522" t="s">
        <v>34</v>
      </c>
      <c r="J153" s="1023" t="s">
        <v>1447</v>
      </c>
      <c r="K153" s="522"/>
      <c r="L153" s="523">
        <v>43021</v>
      </c>
      <c r="M153" s="523"/>
      <c r="N153" s="523"/>
      <c r="O153" s="523">
        <v>43143</v>
      </c>
      <c r="P153" s="1161">
        <v>1</v>
      </c>
      <c r="Q153" s="524">
        <v>1</v>
      </c>
      <c r="R153" s="525">
        <v>100000</v>
      </c>
      <c r="S153" s="526" t="s">
        <v>1397</v>
      </c>
      <c r="T153" s="527" t="s">
        <v>54</v>
      </c>
      <c r="U153" s="527"/>
      <c r="V153" s="527"/>
      <c r="W153" s="528" t="s">
        <v>1381</v>
      </c>
      <c r="X153" s="114"/>
      <c r="Y153" s="114"/>
      <c r="Z153" s="114"/>
      <c r="AA153" s="303"/>
      <c r="AB153" s="114"/>
      <c r="AC153" s="114"/>
      <c r="AD153" s="1253"/>
      <c r="AE153" s="1253"/>
      <c r="AF153" s="1"/>
    </row>
    <row r="154" spans="1:32" ht="96.6">
      <c r="A154" s="852"/>
      <c r="B154" s="712" t="s">
        <v>48</v>
      </c>
      <c r="C154" s="529" t="s">
        <v>1469</v>
      </c>
      <c r="D154" s="727" t="s">
        <v>60</v>
      </c>
      <c r="E154" s="727"/>
      <c r="F154" s="727"/>
      <c r="G154" s="727"/>
      <c r="H154" s="521" t="s">
        <v>127</v>
      </c>
      <c r="I154" s="522" t="s">
        <v>34</v>
      </c>
      <c r="J154" s="1023" t="s">
        <v>1470</v>
      </c>
      <c r="K154" s="522"/>
      <c r="L154" s="523">
        <v>43073</v>
      </c>
      <c r="M154" s="523"/>
      <c r="N154" s="523"/>
      <c r="O154" s="523">
        <v>43143</v>
      </c>
      <c r="P154" s="524">
        <v>24</v>
      </c>
      <c r="Q154" s="769" t="s">
        <v>366</v>
      </c>
      <c r="R154" s="525">
        <v>10000000</v>
      </c>
      <c r="S154" s="790" t="s">
        <v>1471</v>
      </c>
      <c r="T154" s="527" t="s">
        <v>41</v>
      </c>
      <c r="U154" s="527"/>
      <c r="V154" s="527"/>
      <c r="W154" s="528" t="s">
        <v>1413</v>
      </c>
      <c r="X154" s="114"/>
      <c r="Y154" s="114"/>
      <c r="Z154" s="114"/>
      <c r="AA154" s="114"/>
      <c r="AB154" s="114"/>
      <c r="AC154" s="114"/>
      <c r="AD154" s="303"/>
      <c r="AE154" s="180"/>
      <c r="AF154" s="53"/>
    </row>
    <row r="155" spans="1:32" s="53" customFormat="1" ht="55.2">
      <c r="A155" s="852"/>
      <c r="B155" s="712" t="s">
        <v>48</v>
      </c>
      <c r="C155" s="520" t="s">
        <v>1529</v>
      </c>
      <c r="D155" s="727" t="s">
        <v>60</v>
      </c>
      <c r="E155" s="727"/>
      <c r="F155" s="727"/>
      <c r="G155" s="727"/>
      <c r="H155" s="521" t="s">
        <v>127</v>
      </c>
      <c r="I155" s="522" t="s">
        <v>34</v>
      </c>
      <c r="J155" s="1023" t="s">
        <v>1530</v>
      </c>
      <c r="K155" s="522"/>
      <c r="L155" s="523">
        <v>43146</v>
      </c>
      <c r="M155" s="523"/>
      <c r="N155" s="523"/>
      <c r="O155" s="523">
        <v>43146</v>
      </c>
      <c r="P155" s="524">
        <v>1</v>
      </c>
      <c r="Q155" s="769">
        <v>1</v>
      </c>
      <c r="R155" s="525">
        <v>20000</v>
      </c>
      <c r="S155" s="797" t="s">
        <v>1407</v>
      </c>
      <c r="T155" s="527" t="s">
        <v>54</v>
      </c>
      <c r="U155" s="527"/>
      <c r="V155" s="527"/>
      <c r="W155" s="528"/>
      <c r="X155" s="114"/>
      <c r="Y155" s="114"/>
      <c r="Z155" s="114"/>
      <c r="AA155" s="114"/>
      <c r="AB155" s="114"/>
      <c r="AC155" s="114"/>
      <c r="AD155" s="303"/>
      <c r="AE155" s="180"/>
    </row>
    <row r="156" spans="1:32" ht="69">
      <c r="A156" s="852"/>
      <c r="B156" s="712" t="s">
        <v>48</v>
      </c>
      <c r="C156" s="529" t="s">
        <v>1378</v>
      </c>
      <c r="D156" s="727" t="s">
        <v>60</v>
      </c>
      <c r="E156" s="727"/>
      <c r="F156" s="727"/>
      <c r="G156" s="727"/>
      <c r="H156" s="521" t="s">
        <v>127</v>
      </c>
      <c r="I156" s="522" t="s">
        <v>34</v>
      </c>
      <c r="J156" s="1023" t="s">
        <v>1379</v>
      </c>
      <c r="K156" s="522"/>
      <c r="L156" s="523">
        <v>42944</v>
      </c>
      <c r="M156" s="523"/>
      <c r="N156" s="523"/>
      <c r="O156" s="523">
        <v>43150</v>
      </c>
      <c r="P156" s="524">
        <v>2</v>
      </c>
      <c r="Q156" s="524">
        <v>2</v>
      </c>
      <c r="R156" s="525">
        <v>450000</v>
      </c>
      <c r="S156" s="526" t="s">
        <v>1380</v>
      </c>
      <c r="T156" s="527" t="s">
        <v>54</v>
      </c>
      <c r="U156" s="527"/>
      <c r="V156" s="527"/>
      <c r="W156" s="528" t="s">
        <v>1381</v>
      </c>
      <c r="X156" s="114"/>
      <c r="Y156" s="114"/>
      <c r="Z156" s="114"/>
      <c r="AA156" s="114"/>
      <c r="AB156" s="114"/>
      <c r="AC156" s="114"/>
      <c r="AD156" s="303"/>
      <c r="AE156" s="180"/>
      <c r="AF156" s="1"/>
    </row>
    <row r="157" spans="1:32" ht="158.4">
      <c r="A157" s="454"/>
      <c r="B157" s="1" t="s">
        <v>28</v>
      </c>
      <c r="C157" s="4"/>
      <c r="D157" s="112" t="s">
        <v>29</v>
      </c>
      <c r="E157" s="112"/>
      <c r="F157" s="112"/>
      <c r="G157" s="112"/>
      <c r="H157" s="5" t="s">
        <v>70</v>
      </c>
      <c r="I157" s="12" t="s">
        <v>34</v>
      </c>
      <c r="J157" s="16" t="s">
        <v>2761</v>
      </c>
      <c r="K157" s="16"/>
      <c r="L157" s="16"/>
      <c r="M157" s="176">
        <v>43040</v>
      </c>
      <c r="N157" s="176"/>
      <c r="O157" s="176">
        <v>43157</v>
      </c>
      <c r="P157" s="12">
        <v>12</v>
      </c>
      <c r="Q157" s="7" t="s">
        <v>108</v>
      </c>
      <c r="R157" s="18">
        <v>14470</v>
      </c>
      <c r="S157" s="30" t="s">
        <v>2615</v>
      </c>
      <c r="T157" s="12" t="s">
        <v>54</v>
      </c>
      <c r="U157" s="4"/>
      <c r="V157" s="4"/>
      <c r="W157" s="12" t="s">
        <v>2616</v>
      </c>
      <c r="X157" s="5" t="s">
        <v>1091</v>
      </c>
      <c r="Y157" s="5" t="s">
        <v>457</v>
      </c>
      <c r="Z157" s="5"/>
      <c r="AA157" s="5"/>
      <c r="AB157" s="7"/>
      <c r="AC157" s="8" t="s">
        <v>2762</v>
      </c>
      <c r="AD157" s="141"/>
      <c r="AE157" s="219">
        <v>4650</v>
      </c>
      <c r="AF157" s="53"/>
    </row>
    <row r="158" spans="1:32" ht="45" customHeight="1">
      <c r="A158" s="852"/>
      <c r="B158" s="712" t="s">
        <v>48</v>
      </c>
      <c r="C158" s="529" t="s">
        <v>1422</v>
      </c>
      <c r="D158" s="727" t="s">
        <v>60</v>
      </c>
      <c r="E158" s="727"/>
      <c r="F158" s="727"/>
      <c r="G158" s="727"/>
      <c r="H158" s="521" t="s">
        <v>127</v>
      </c>
      <c r="I158" s="522" t="s">
        <v>34</v>
      </c>
      <c r="J158" s="1023" t="s">
        <v>1423</v>
      </c>
      <c r="K158" s="522"/>
      <c r="L158" s="523">
        <v>43020</v>
      </c>
      <c r="M158" s="523"/>
      <c r="N158" s="523"/>
      <c r="O158" s="523">
        <v>43157</v>
      </c>
      <c r="P158" s="524">
        <v>1</v>
      </c>
      <c r="Q158" s="524">
        <v>1</v>
      </c>
      <c r="R158" s="525">
        <v>20000</v>
      </c>
      <c r="S158" s="527" t="s">
        <v>1407</v>
      </c>
      <c r="T158" s="527" t="s">
        <v>54</v>
      </c>
      <c r="U158" s="527"/>
      <c r="V158" s="527"/>
      <c r="W158" s="528" t="s">
        <v>1381</v>
      </c>
      <c r="X158" s="114"/>
      <c r="Y158" s="114"/>
      <c r="Z158" s="114"/>
      <c r="AA158" s="114"/>
      <c r="AB158" s="114"/>
      <c r="AC158" s="114"/>
      <c r="AD158" s="303"/>
      <c r="AE158" s="180"/>
      <c r="AF158" s="53"/>
    </row>
    <row r="159" spans="1:32" s="53" customFormat="1" ht="57.6" customHeight="1">
      <c r="A159" s="852"/>
      <c r="B159" s="712" t="s">
        <v>48</v>
      </c>
      <c r="C159" s="529" t="s">
        <v>1430</v>
      </c>
      <c r="D159" s="727" t="s">
        <v>60</v>
      </c>
      <c r="E159" s="727"/>
      <c r="F159" s="727"/>
      <c r="G159" s="727"/>
      <c r="H159" s="521" t="s">
        <v>127</v>
      </c>
      <c r="I159" s="522" t="s">
        <v>34</v>
      </c>
      <c r="J159" s="1023" t="s">
        <v>1431</v>
      </c>
      <c r="K159" s="522"/>
      <c r="L159" s="523">
        <v>43069</v>
      </c>
      <c r="M159" s="523"/>
      <c r="N159" s="523"/>
      <c r="O159" s="523">
        <v>43157</v>
      </c>
      <c r="P159" s="524">
        <v>1</v>
      </c>
      <c r="Q159" s="769">
        <v>1</v>
      </c>
      <c r="R159" s="525">
        <v>15000</v>
      </c>
      <c r="S159" s="527" t="s">
        <v>1407</v>
      </c>
      <c r="T159" s="527" t="s">
        <v>54</v>
      </c>
      <c r="U159" s="527"/>
      <c r="V159" s="527"/>
      <c r="W159" s="528" t="s">
        <v>1381</v>
      </c>
      <c r="X159" s="114"/>
      <c r="Y159" s="114"/>
      <c r="Z159" s="114"/>
      <c r="AA159" s="114"/>
      <c r="AB159" s="114"/>
      <c r="AC159" s="114"/>
      <c r="AD159" s="303"/>
      <c r="AE159" s="180"/>
      <c r="AF159"/>
    </row>
    <row r="160" spans="1:32" ht="69">
      <c r="A160" s="852"/>
      <c r="B160" s="712" t="s">
        <v>48</v>
      </c>
      <c r="C160" s="520" t="s">
        <v>1608</v>
      </c>
      <c r="D160" s="727" t="s">
        <v>29</v>
      </c>
      <c r="E160" s="727"/>
      <c r="F160" s="727"/>
      <c r="G160" s="727"/>
      <c r="H160" s="521" t="s">
        <v>49</v>
      </c>
      <c r="I160" s="522" t="s">
        <v>34</v>
      </c>
      <c r="J160" s="1023" t="s">
        <v>1609</v>
      </c>
      <c r="K160" s="522"/>
      <c r="L160" s="523">
        <v>43130</v>
      </c>
      <c r="M160" s="523"/>
      <c r="N160" s="523"/>
      <c r="O160" s="523">
        <v>43158</v>
      </c>
      <c r="P160" s="524">
        <v>4</v>
      </c>
      <c r="Q160" s="524">
        <v>4</v>
      </c>
      <c r="R160" s="525">
        <v>333000</v>
      </c>
      <c r="S160" s="790" t="s">
        <v>1508</v>
      </c>
      <c r="T160" s="527" t="s">
        <v>54</v>
      </c>
      <c r="U160" s="527"/>
      <c r="V160" s="527"/>
      <c r="W160" s="521" t="s">
        <v>1557</v>
      </c>
      <c r="X160" s="114"/>
      <c r="Y160" s="114"/>
      <c r="Z160" s="114"/>
      <c r="AA160" s="114"/>
      <c r="AB160" s="114"/>
      <c r="AC160" s="114"/>
      <c r="AD160" s="303"/>
      <c r="AE160" s="180"/>
    </row>
    <row r="161" spans="1:32" s="53" customFormat="1" ht="39.6">
      <c r="A161" s="852"/>
      <c r="B161" s="712" t="s">
        <v>48</v>
      </c>
      <c r="C161" s="544"/>
      <c r="D161" s="554" t="s">
        <v>60</v>
      </c>
      <c r="E161" s="554"/>
      <c r="F161" s="554"/>
      <c r="G161" s="554"/>
      <c r="H161" s="466" t="s">
        <v>49</v>
      </c>
      <c r="I161" s="474" t="s">
        <v>34</v>
      </c>
      <c r="J161" s="549" t="s">
        <v>1741</v>
      </c>
      <c r="K161" s="484"/>
      <c r="L161" s="545">
        <v>43398</v>
      </c>
      <c r="M161" s="545"/>
      <c r="N161" s="545"/>
      <c r="O161" s="545">
        <v>43159</v>
      </c>
      <c r="P161" s="471">
        <v>48</v>
      </c>
      <c r="Q161" s="471">
        <v>48</v>
      </c>
      <c r="R161" s="557">
        <v>250000</v>
      </c>
      <c r="S161" s="791" t="s">
        <v>125</v>
      </c>
      <c r="T161" s="470" t="s">
        <v>54</v>
      </c>
      <c r="U161" s="470"/>
      <c r="V161" s="470"/>
      <c r="W161" s="474" t="s">
        <v>432</v>
      </c>
      <c r="X161" s="114"/>
      <c r="Y161" s="114"/>
      <c r="Z161" s="114"/>
      <c r="AA161" s="114"/>
      <c r="AB161" s="114"/>
      <c r="AC161" s="114"/>
      <c r="AD161" s="303"/>
      <c r="AE161" s="180"/>
      <c r="AF161"/>
    </row>
    <row r="162" spans="1:32" s="1" customFormat="1" ht="28.8">
      <c r="A162" s="454"/>
      <c r="B162" s="1" t="s">
        <v>28</v>
      </c>
      <c r="C162" s="4"/>
      <c r="D162" s="112" t="s">
        <v>29</v>
      </c>
      <c r="E162" s="112"/>
      <c r="F162" s="112"/>
      <c r="G162" s="112"/>
      <c r="H162" s="12" t="s">
        <v>70</v>
      </c>
      <c r="I162" s="12" t="s">
        <v>34</v>
      </c>
      <c r="J162" s="97" t="s">
        <v>280</v>
      </c>
      <c r="K162" s="97"/>
      <c r="L162" s="97"/>
      <c r="M162" s="176">
        <v>42826</v>
      </c>
      <c r="N162" s="176"/>
      <c r="O162" s="176">
        <v>43160</v>
      </c>
      <c r="P162" s="12">
        <v>96</v>
      </c>
      <c r="Q162" s="25" t="s">
        <v>745</v>
      </c>
      <c r="R162" s="18">
        <v>64000</v>
      </c>
      <c r="S162" s="30" t="s">
        <v>163</v>
      </c>
      <c r="T162" s="12" t="s">
        <v>54</v>
      </c>
      <c r="U162" s="4"/>
      <c r="V162" s="4"/>
      <c r="W162" s="12" t="s">
        <v>2763</v>
      </c>
      <c r="X162" s="12" t="s">
        <v>1053</v>
      </c>
      <c r="Y162" s="5" t="s">
        <v>457</v>
      </c>
      <c r="Z162" s="5"/>
      <c r="AA162" s="27"/>
      <c r="AB162" s="7"/>
      <c r="AC162" s="8" t="s">
        <v>2764</v>
      </c>
      <c r="AD162" s="141"/>
      <c r="AE162" s="219"/>
    </row>
    <row r="163" spans="1:32" ht="30.75" customHeight="1">
      <c r="A163" s="454"/>
      <c r="B163" s="1" t="s">
        <v>28</v>
      </c>
      <c r="C163" s="4"/>
      <c r="D163" s="115" t="s">
        <v>29</v>
      </c>
      <c r="E163" s="115"/>
      <c r="F163" s="115"/>
      <c r="G163" s="115"/>
      <c r="H163" s="12" t="s">
        <v>70</v>
      </c>
      <c r="I163" s="12" t="s">
        <v>34</v>
      </c>
      <c r="J163" s="16" t="s">
        <v>280</v>
      </c>
      <c r="K163" s="16"/>
      <c r="L163" s="16"/>
      <c r="M163" s="193">
        <v>42887</v>
      </c>
      <c r="N163" s="193"/>
      <c r="O163" s="176">
        <v>43160</v>
      </c>
      <c r="P163" s="12">
        <v>96</v>
      </c>
      <c r="Q163" s="27" t="s">
        <v>745</v>
      </c>
      <c r="R163" s="18">
        <v>64000</v>
      </c>
      <c r="S163" s="30" t="s">
        <v>163</v>
      </c>
      <c r="T163" s="12" t="s">
        <v>54</v>
      </c>
      <c r="U163" s="4"/>
      <c r="V163" s="4"/>
      <c r="W163" s="12" t="s">
        <v>282</v>
      </c>
      <c r="X163" s="12" t="s">
        <v>234</v>
      </c>
      <c r="Y163" s="5" t="s">
        <v>457</v>
      </c>
      <c r="Z163" s="5"/>
      <c r="AA163" s="5"/>
      <c r="AB163" s="98"/>
      <c r="AC163" s="8" t="s">
        <v>2765</v>
      </c>
      <c r="AD163" s="141"/>
      <c r="AE163" s="219"/>
    </row>
    <row r="164" spans="1:32" s="1" customFormat="1" ht="110.4">
      <c r="A164" s="852"/>
      <c r="B164" s="712" t="s">
        <v>48</v>
      </c>
      <c r="C164" s="520" t="s">
        <v>1476</v>
      </c>
      <c r="D164" s="727" t="s">
        <v>60</v>
      </c>
      <c r="E164" s="727"/>
      <c r="F164" s="727"/>
      <c r="G164" s="727"/>
      <c r="H164" s="521" t="s">
        <v>127</v>
      </c>
      <c r="I164" s="522" t="s">
        <v>34</v>
      </c>
      <c r="J164" s="1023" t="s">
        <v>1477</v>
      </c>
      <c r="K164" s="522"/>
      <c r="L164" s="523">
        <v>43129</v>
      </c>
      <c r="M164" s="523"/>
      <c r="N164" s="523"/>
      <c r="O164" s="523">
        <v>43164</v>
      </c>
      <c r="P164" s="524">
        <v>1</v>
      </c>
      <c r="Q164" s="524">
        <v>1</v>
      </c>
      <c r="R164" s="525">
        <v>370000</v>
      </c>
      <c r="S164" s="790" t="s">
        <v>1372</v>
      </c>
      <c r="T164" s="527" t="s">
        <v>54</v>
      </c>
      <c r="U164" s="527"/>
      <c r="V164" s="527"/>
      <c r="W164" s="528" t="s">
        <v>1478</v>
      </c>
      <c r="X164" s="114"/>
      <c r="Y164" s="821"/>
      <c r="Z164" s="114"/>
      <c r="AA164" s="114"/>
      <c r="AB164" s="114"/>
      <c r="AC164" s="114"/>
      <c r="AD164" s="303"/>
      <c r="AE164" s="180"/>
      <c r="AF164" s="53"/>
    </row>
    <row r="165" spans="1:32" s="1" customFormat="1" ht="43.2">
      <c r="A165" s="852"/>
      <c r="B165" s="1" t="s">
        <v>28</v>
      </c>
      <c r="C165" s="4"/>
      <c r="D165" s="112" t="s">
        <v>29</v>
      </c>
      <c r="E165" s="112"/>
      <c r="F165" s="112"/>
      <c r="G165" s="112"/>
      <c r="H165" s="5" t="s">
        <v>311</v>
      </c>
      <c r="I165" s="5" t="s">
        <v>34</v>
      </c>
      <c r="J165" s="16" t="s">
        <v>2766</v>
      </c>
      <c r="K165" s="8"/>
      <c r="L165" s="8"/>
      <c r="M165" s="193">
        <v>43009</v>
      </c>
      <c r="N165" s="193"/>
      <c r="O165" s="193">
        <v>43172</v>
      </c>
      <c r="P165" s="5">
        <v>36</v>
      </c>
      <c r="Q165" s="25" t="s">
        <v>488</v>
      </c>
      <c r="R165" s="18">
        <v>6000</v>
      </c>
      <c r="S165" s="30" t="s">
        <v>163</v>
      </c>
      <c r="T165" s="11" t="s">
        <v>54</v>
      </c>
      <c r="U165" s="4"/>
      <c r="V165" s="4"/>
      <c r="W165" s="5" t="s">
        <v>2767</v>
      </c>
      <c r="X165" s="5" t="s">
        <v>2689</v>
      </c>
      <c r="Y165" s="5" t="s">
        <v>457</v>
      </c>
      <c r="Z165" s="5"/>
      <c r="AA165" s="5"/>
      <c r="AB165" s="7"/>
      <c r="AC165" s="8" t="s">
        <v>2768</v>
      </c>
      <c r="AD165" s="141"/>
      <c r="AE165" s="218"/>
    </row>
    <row r="166" spans="1:32" ht="39.6">
      <c r="A166" s="852"/>
      <c r="B166" s="712" t="s">
        <v>48</v>
      </c>
      <c r="C166" s="465" t="s">
        <v>1668</v>
      </c>
      <c r="D166" s="554" t="s">
        <v>29</v>
      </c>
      <c r="E166" s="554"/>
      <c r="F166" s="554"/>
      <c r="G166" s="554"/>
      <c r="H166" s="466" t="s">
        <v>49</v>
      </c>
      <c r="I166" s="474" t="s">
        <v>34</v>
      </c>
      <c r="J166" s="1024" t="s">
        <v>1669</v>
      </c>
      <c r="K166" s="467"/>
      <c r="L166" s="540" t="s">
        <v>1266</v>
      </c>
      <c r="M166" s="540"/>
      <c r="N166" s="540"/>
      <c r="O166" s="540">
        <v>43178</v>
      </c>
      <c r="P166" s="471">
        <v>5</v>
      </c>
      <c r="Q166" s="761">
        <v>5</v>
      </c>
      <c r="R166" s="542">
        <v>530000</v>
      </c>
      <c r="S166" s="791" t="s">
        <v>1663</v>
      </c>
      <c r="T166" s="470" t="s">
        <v>54</v>
      </c>
      <c r="U166" s="470"/>
      <c r="V166" s="470"/>
      <c r="W166" s="474" t="s">
        <v>406</v>
      </c>
      <c r="X166" s="114"/>
      <c r="Y166" s="114"/>
      <c r="Z166" s="114"/>
      <c r="AA166" s="114"/>
      <c r="AB166" s="114"/>
      <c r="AC166" s="114"/>
      <c r="AD166" s="303"/>
      <c r="AE166" s="180"/>
      <c r="AF166" s="1"/>
    </row>
    <row r="167" spans="1:32" s="53" customFormat="1" ht="89.1" customHeight="1">
      <c r="A167" s="852"/>
      <c r="B167" s="712" t="s">
        <v>48</v>
      </c>
      <c r="C167" s="520" t="s">
        <v>1512</v>
      </c>
      <c r="D167" s="727" t="s">
        <v>60</v>
      </c>
      <c r="E167" s="727"/>
      <c r="F167" s="727"/>
      <c r="G167" s="727"/>
      <c r="H167" s="521" t="s">
        <v>127</v>
      </c>
      <c r="I167" s="522" t="s">
        <v>34</v>
      </c>
      <c r="J167" s="1023" t="s">
        <v>1513</v>
      </c>
      <c r="K167" s="522"/>
      <c r="L167" s="523">
        <v>43157</v>
      </c>
      <c r="M167" s="523"/>
      <c r="N167" s="523"/>
      <c r="O167" s="523">
        <v>43185</v>
      </c>
      <c r="P167" s="524">
        <v>1</v>
      </c>
      <c r="Q167" s="769">
        <v>1</v>
      </c>
      <c r="R167" s="525">
        <v>30000</v>
      </c>
      <c r="S167" s="790" t="s">
        <v>1380</v>
      </c>
      <c r="T167" s="527" t="s">
        <v>54</v>
      </c>
      <c r="U167" s="527"/>
      <c r="V167" s="527"/>
      <c r="W167" s="521" t="s">
        <v>1514</v>
      </c>
      <c r="X167" s="114"/>
      <c r="Y167" s="114"/>
      <c r="Z167" s="114"/>
      <c r="AA167" s="114"/>
      <c r="AB167" s="114"/>
      <c r="AC167" s="114"/>
      <c r="AD167" s="303"/>
      <c r="AE167" s="180"/>
    </row>
    <row r="168" spans="1:32" s="53" customFormat="1" ht="72">
      <c r="A168" s="1364"/>
      <c r="B168" s="1" t="s">
        <v>28</v>
      </c>
      <c r="C168" s="4"/>
      <c r="D168" s="141" t="s">
        <v>29</v>
      </c>
      <c r="E168" s="141"/>
      <c r="F168" s="141"/>
      <c r="G168" s="141"/>
      <c r="H168" s="5" t="s">
        <v>70</v>
      </c>
      <c r="I168" s="8" t="s">
        <v>64</v>
      </c>
      <c r="J168" s="16" t="s">
        <v>2769</v>
      </c>
      <c r="K168" s="8"/>
      <c r="L168" s="8"/>
      <c r="M168" s="14">
        <v>42767</v>
      </c>
      <c r="N168" s="14"/>
      <c r="O168" s="14">
        <v>43186</v>
      </c>
      <c r="P168" s="12">
        <v>72</v>
      </c>
      <c r="Q168" s="26" t="s">
        <v>1301</v>
      </c>
      <c r="R168" s="76">
        <v>1315000</v>
      </c>
      <c r="S168" s="5" t="s">
        <v>98</v>
      </c>
      <c r="T168" s="14" t="s">
        <v>54</v>
      </c>
      <c r="U168" s="4"/>
      <c r="V168" s="4"/>
      <c r="W168" s="5" t="s">
        <v>286</v>
      </c>
      <c r="X168" s="5" t="s">
        <v>2585</v>
      </c>
      <c r="Y168" s="5" t="s">
        <v>457</v>
      </c>
      <c r="Z168" s="5"/>
      <c r="AA168" s="5"/>
      <c r="AB168" s="13"/>
      <c r="AC168" s="8" t="s">
        <v>2770</v>
      </c>
      <c r="AD168" s="141"/>
      <c r="AE168" s="26"/>
      <c r="AF168"/>
    </row>
    <row r="169" spans="1:32" s="1" customFormat="1" ht="28.8">
      <c r="A169" s="454"/>
      <c r="B169" s="1" t="s">
        <v>28</v>
      </c>
      <c r="C169" s="4"/>
      <c r="D169" s="141" t="s">
        <v>29</v>
      </c>
      <c r="E169" s="141"/>
      <c r="F169" s="141"/>
      <c r="G169" s="141"/>
      <c r="H169" s="5" t="s">
        <v>70</v>
      </c>
      <c r="I169" s="8" t="s">
        <v>34</v>
      </c>
      <c r="J169" s="16" t="s">
        <v>2771</v>
      </c>
      <c r="K169" s="8"/>
      <c r="L169" s="8"/>
      <c r="M169" s="193">
        <v>42826</v>
      </c>
      <c r="N169" s="193"/>
      <c r="O169" s="193">
        <v>43190</v>
      </c>
      <c r="P169" s="5">
        <v>12</v>
      </c>
      <c r="Q169" s="7" t="s">
        <v>108</v>
      </c>
      <c r="R169" s="76">
        <v>50000</v>
      </c>
      <c r="S169" s="30" t="s">
        <v>163</v>
      </c>
      <c r="T169" s="11" t="s">
        <v>54</v>
      </c>
      <c r="U169" s="4"/>
      <c r="V169" s="4"/>
      <c r="W169" s="5" t="s">
        <v>113</v>
      </c>
      <c r="X169" s="5" t="s">
        <v>2599</v>
      </c>
      <c r="Y169" s="5" t="s">
        <v>457</v>
      </c>
      <c r="Z169" s="5"/>
      <c r="AA169" s="26"/>
      <c r="AB169" s="7"/>
      <c r="AC169" s="8" t="s">
        <v>2772</v>
      </c>
      <c r="AD169" s="141"/>
      <c r="AE169" s="26"/>
      <c r="AF169"/>
    </row>
    <row r="170" spans="1:32" s="1" customFormat="1" ht="86.85" customHeight="1">
      <c r="A170" s="894"/>
      <c r="B170" s="1" t="s">
        <v>28</v>
      </c>
      <c r="C170" s="4"/>
      <c r="D170" s="112" t="s">
        <v>60</v>
      </c>
      <c r="E170" s="112"/>
      <c r="F170" s="112"/>
      <c r="G170" s="112"/>
      <c r="H170" s="5" t="s">
        <v>63</v>
      </c>
      <c r="I170" s="5" t="s">
        <v>34</v>
      </c>
      <c r="J170" s="16" t="s">
        <v>2773</v>
      </c>
      <c r="K170" s="16"/>
      <c r="L170" s="16"/>
      <c r="M170" s="14">
        <v>42826</v>
      </c>
      <c r="N170" s="14"/>
      <c r="O170" s="14">
        <v>43190</v>
      </c>
      <c r="P170" s="12">
        <v>72</v>
      </c>
      <c r="Q170" s="5" t="s">
        <v>1301</v>
      </c>
      <c r="R170" s="39">
        <v>20341525</v>
      </c>
      <c r="S170" s="5" t="s">
        <v>98</v>
      </c>
      <c r="T170" s="14" t="s">
        <v>41</v>
      </c>
      <c r="U170" s="4"/>
      <c r="V170" s="4"/>
      <c r="W170" s="5" t="s">
        <v>67</v>
      </c>
      <c r="X170" s="5" t="s">
        <v>1091</v>
      </c>
      <c r="Y170" s="5" t="s">
        <v>457</v>
      </c>
      <c r="Z170" s="5"/>
      <c r="AA170" s="5"/>
      <c r="AB170" s="7"/>
      <c r="AC170" s="8" t="s">
        <v>2774</v>
      </c>
      <c r="AD170" s="141"/>
      <c r="AE170" s="218">
        <v>2500000</v>
      </c>
      <c r="AF170" s="53"/>
    </row>
    <row r="171" spans="1:32" ht="43.2">
      <c r="A171" s="895"/>
      <c r="B171" s="1" t="s">
        <v>28</v>
      </c>
      <c r="C171" s="4"/>
      <c r="D171" s="141" t="s">
        <v>29</v>
      </c>
      <c r="E171" s="141"/>
      <c r="F171" s="141"/>
      <c r="G171" s="141"/>
      <c r="H171" s="5" t="s">
        <v>45</v>
      </c>
      <c r="I171" s="8" t="s">
        <v>34</v>
      </c>
      <c r="J171" s="16" t="s">
        <v>778</v>
      </c>
      <c r="K171" s="8"/>
      <c r="L171" s="8"/>
      <c r="M171" s="14">
        <v>42552</v>
      </c>
      <c r="N171" s="14"/>
      <c r="O171" s="14">
        <v>43191</v>
      </c>
      <c r="P171" s="12">
        <v>48</v>
      </c>
      <c r="Q171" s="26" t="s">
        <v>648</v>
      </c>
      <c r="R171" s="76">
        <v>2898761</v>
      </c>
      <c r="S171" s="5" t="s">
        <v>159</v>
      </c>
      <c r="T171" s="14" t="s">
        <v>54</v>
      </c>
      <c r="U171" s="4"/>
      <c r="V171" s="4"/>
      <c r="W171" s="5" t="s">
        <v>2584</v>
      </c>
      <c r="X171" s="5" t="s">
        <v>2638</v>
      </c>
      <c r="Y171" s="5" t="s">
        <v>457</v>
      </c>
      <c r="Z171" s="5"/>
      <c r="AA171" s="5"/>
      <c r="AB171" s="13"/>
      <c r="AC171" s="8" t="s">
        <v>2775</v>
      </c>
      <c r="AD171" s="141"/>
      <c r="AE171" s="26">
        <v>724690</v>
      </c>
    </row>
    <row r="172" spans="1:32" s="34" customFormat="1" ht="43.35" customHeight="1">
      <c r="A172" s="852"/>
      <c r="B172" s="1" t="s">
        <v>28</v>
      </c>
      <c r="C172" s="4"/>
      <c r="D172" s="141" t="s">
        <v>29</v>
      </c>
      <c r="E172" s="141"/>
      <c r="F172" s="141"/>
      <c r="G172" s="141"/>
      <c r="H172" s="5" t="s">
        <v>45</v>
      </c>
      <c r="I172" s="8" t="s">
        <v>34</v>
      </c>
      <c r="J172" s="16" t="s">
        <v>2776</v>
      </c>
      <c r="K172" s="16"/>
      <c r="L172" s="16"/>
      <c r="M172" s="176">
        <v>42552</v>
      </c>
      <c r="N172" s="176"/>
      <c r="O172" s="176">
        <v>43191</v>
      </c>
      <c r="P172" s="12">
        <v>48</v>
      </c>
      <c r="Q172" s="25" t="s">
        <v>298</v>
      </c>
      <c r="R172" s="18">
        <v>10058051</v>
      </c>
      <c r="S172" s="5" t="s">
        <v>98</v>
      </c>
      <c r="T172" s="12" t="s">
        <v>54</v>
      </c>
      <c r="U172" s="4"/>
      <c r="V172" s="4"/>
      <c r="W172" s="5" t="s">
        <v>2584</v>
      </c>
      <c r="X172" s="12" t="s">
        <v>2638</v>
      </c>
      <c r="Y172" s="5" t="s">
        <v>457</v>
      </c>
      <c r="Z172" s="5"/>
      <c r="AA172" s="5"/>
      <c r="AB172" s="12"/>
      <c r="AC172" s="8" t="s">
        <v>2753</v>
      </c>
      <c r="AD172" s="141"/>
      <c r="AE172" s="219">
        <v>2515512</v>
      </c>
      <c r="AF172"/>
    </row>
    <row r="173" spans="1:32" s="53" customFormat="1" ht="62.25" customHeight="1">
      <c r="A173" s="888"/>
      <c r="B173" s="1" t="s">
        <v>28</v>
      </c>
      <c r="C173" s="4"/>
      <c r="D173" s="141" t="s">
        <v>29</v>
      </c>
      <c r="E173" s="141"/>
      <c r="F173" s="141"/>
      <c r="G173" s="141"/>
      <c r="H173" s="5" t="s">
        <v>45</v>
      </c>
      <c r="I173" s="8" t="s">
        <v>64</v>
      </c>
      <c r="J173" s="16" t="s">
        <v>2777</v>
      </c>
      <c r="K173" s="16"/>
      <c r="L173" s="16"/>
      <c r="M173" s="176">
        <v>42552</v>
      </c>
      <c r="N173" s="176"/>
      <c r="O173" s="176">
        <v>43191</v>
      </c>
      <c r="P173" s="12">
        <v>24</v>
      </c>
      <c r="Q173" s="7" t="s">
        <v>365</v>
      </c>
      <c r="R173" s="18">
        <v>11314000</v>
      </c>
      <c r="S173" s="5" t="s">
        <v>109</v>
      </c>
      <c r="T173" s="12" t="s">
        <v>54</v>
      </c>
      <c r="U173" s="4"/>
      <c r="V173" s="4"/>
      <c r="W173" s="5" t="s">
        <v>2584</v>
      </c>
      <c r="X173" s="12" t="s">
        <v>2638</v>
      </c>
      <c r="Y173" s="5" t="s">
        <v>457</v>
      </c>
      <c r="Z173" s="5"/>
      <c r="AA173" s="5"/>
      <c r="AB173" s="12"/>
      <c r="AC173" s="8" t="s">
        <v>2778</v>
      </c>
      <c r="AD173" s="141"/>
      <c r="AE173" s="219">
        <v>5657000</v>
      </c>
      <c r="AF173"/>
    </row>
    <row r="174" spans="1:32" ht="43.2">
      <c r="A174" s="1363"/>
      <c r="B174" s="1" t="s">
        <v>28</v>
      </c>
      <c r="C174" s="4"/>
      <c r="D174" s="112" t="s">
        <v>29</v>
      </c>
      <c r="E174" s="112"/>
      <c r="F174" s="112"/>
      <c r="G174" s="112"/>
      <c r="H174" s="5" t="s">
        <v>70</v>
      </c>
      <c r="I174" s="5" t="s">
        <v>34</v>
      </c>
      <c r="J174" s="16" t="s">
        <v>2779</v>
      </c>
      <c r="K174" s="8"/>
      <c r="L174" s="8"/>
      <c r="M174" s="14">
        <v>42767</v>
      </c>
      <c r="N174" s="14"/>
      <c r="O174" s="14">
        <v>43191</v>
      </c>
      <c r="P174" s="12">
        <v>12</v>
      </c>
      <c r="Q174" s="5">
        <v>12</v>
      </c>
      <c r="R174" s="18">
        <v>62150</v>
      </c>
      <c r="S174" s="30" t="s">
        <v>2608</v>
      </c>
      <c r="T174" s="14" t="s">
        <v>54</v>
      </c>
      <c r="U174" s="4"/>
      <c r="V174" s="4"/>
      <c r="W174" s="5" t="s">
        <v>2780</v>
      </c>
      <c r="X174" s="12" t="s">
        <v>1053</v>
      </c>
      <c r="Y174" s="5" t="s">
        <v>457</v>
      </c>
      <c r="Z174" s="5"/>
      <c r="AA174" s="5"/>
      <c r="AB174" s="5"/>
      <c r="AC174" s="8" t="s">
        <v>2781</v>
      </c>
      <c r="AD174" s="141" t="s">
        <v>286</v>
      </c>
      <c r="AE174" s="26"/>
      <c r="AF174" s="53"/>
    </row>
    <row r="175" spans="1:32" ht="43.2">
      <c r="A175" s="888"/>
      <c r="B175" s="1" t="s">
        <v>28</v>
      </c>
      <c r="C175" s="4"/>
      <c r="D175" s="112" t="s">
        <v>82</v>
      </c>
      <c r="E175" s="112"/>
      <c r="F175" s="112"/>
      <c r="G175" s="112"/>
      <c r="H175" s="5" t="s">
        <v>70</v>
      </c>
      <c r="I175" s="5" t="s">
        <v>34</v>
      </c>
      <c r="J175" s="16" t="s">
        <v>2782</v>
      </c>
      <c r="K175" s="8"/>
      <c r="L175" s="8"/>
      <c r="M175" s="14">
        <v>42767</v>
      </c>
      <c r="N175" s="14"/>
      <c r="O175" s="14">
        <v>43191</v>
      </c>
      <c r="P175" s="12">
        <v>12</v>
      </c>
      <c r="Q175" s="5" t="s">
        <v>366</v>
      </c>
      <c r="R175" s="18">
        <v>60000</v>
      </c>
      <c r="S175" s="30" t="s">
        <v>2608</v>
      </c>
      <c r="T175" s="14" t="s">
        <v>54</v>
      </c>
      <c r="U175" s="4"/>
      <c r="V175" s="4"/>
      <c r="W175" s="5" t="s">
        <v>2780</v>
      </c>
      <c r="X175" s="5" t="s">
        <v>1053</v>
      </c>
      <c r="Y175" s="5" t="s">
        <v>457</v>
      </c>
      <c r="Z175" s="5"/>
      <c r="AA175" s="5"/>
      <c r="AB175" s="5"/>
      <c r="AC175" s="8" t="s">
        <v>2783</v>
      </c>
      <c r="AD175" s="141"/>
      <c r="AE175" s="26"/>
    </row>
    <row r="176" spans="1:32" s="1" customFormat="1" ht="43.2">
      <c r="A176" s="454"/>
      <c r="B176" s="1" t="s">
        <v>28</v>
      </c>
      <c r="C176" s="4"/>
      <c r="D176" s="141" t="s">
        <v>29</v>
      </c>
      <c r="E176" s="141"/>
      <c r="F176" s="141"/>
      <c r="G176" s="141"/>
      <c r="H176" s="5" t="s">
        <v>70</v>
      </c>
      <c r="I176" s="8" t="s">
        <v>34</v>
      </c>
      <c r="J176" s="16" t="s">
        <v>2784</v>
      </c>
      <c r="K176" s="16"/>
      <c r="L176" s="16"/>
      <c r="M176" s="176">
        <v>42887</v>
      </c>
      <c r="N176" s="176"/>
      <c r="O176" s="176">
        <v>43191</v>
      </c>
      <c r="P176" s="12">
        <v>24</v>
      </c>
      <c r="Q176" s="28" t="s">
        <v>365</v>
      </c>
      <c r="R176" s="18">
        <v>15000</v>
      </c>
      <c r="S176" s="30" t="s">
        <v>2688</v>
      </c>
      <c r="T176" s="12" t="s">
        <v>54</v>
      </c>
      <c r="U176" s="4"/>
      <c r="V176" s="4"/>
      <c r="W176" s="5" t="s">
        <v>286</v>
      </c>
      <c r="X176" s="12" t="s">
        <v>2638</v>
      </c>
      <c r="Y176" s="5" t="s">
        <v>457</v>
      </c>
      <c r="Z176" s="5"/>
      <c r="AA176" s="5"/>
      <c r="AB176" s="13"/>
      <c r="AC176" s="16" t="s">
        <v>2785</v>
      </c>
      <c r="AD176" s="1379"/>
      <c r="AE176" s="219">
        <v>7440</v>
      </c>
      <c r="AF176" s="53"/>
    </row>
    <row r="177" spans="1:51" s="1" customFormat="1" ht="129.6">
      <c r="A177" s="454"/>
      <c r="B177" s="1" t="s">
        <v>28</v>
      </c>
      <c r="C177" s="4"/>
      <c r="D177" s="141" t="s">
        <v>29</v>
      </c>
      <c r="E177" s="141"/>
      <c r="F177" s="141"/>
      <c r="G177" s="141"/>
      <c r="H177" s="5" t="s">
        <v>70</v>
      </c>
      <c r="I177" s="8" t="s">
        <v>64</v>
      </c>
      <c r="J177" s="16" t="s">
        <v>2786</v>
      </c>
      <c r="K177" s="16"/>
      <c r="L177" s="16"/>
      <c r="M177" s="176">
        <v>42887</v>
      </c>
      <c r="N177" s="176"/>
      <c r="O177" s="176">
        <v>43191</v>
      </c>
      <c r="P177" s="12">
        <v>60</v>
      </c>
      <c r="Q177" s="28" t="s">
        <v>2787</v>
      </c>
      <c r="R177" s="18">
        <v>45000</v>
      </c>
      <c r="S177" s="30" t="s">
        <v>163</v>
      </c>
      <c r="T177" s="12" t="s">
        <v>54</v>
      </c>
      <c r="U177" s="4"/>
      <c r="V177" s="4"/>
      <c r="W177" s="5" t="s">
        <v>286</v>
      </c>
      <c r="X177" s="12" t="s">
        <v>2788</v>
      </c>
      <c r="Y177" s="5" t="s">
        <v>457</v>
      </c>
      <c r="Z177" s="5"/>
      <c r="AA177" s="5"/>
      <c r="AB177" s="13"/>
      <c r="AC177" s="16" t="s">
        <v>2789</v>
      </c>
      <c r="AD177" s="1379"/>
      <c r="AE177" s="219">
        <v>7440</v>
      </c>
    </row>
    <row r="178" spans="1:51" s="34" customFormat="1" ht="15.6">
      <c r="A178" s="454"/>
      <c r="B178" s="1" t="s">
        <v>28</v>
      </c>
      <c r="C178" s="4"/>
      <c r="D178" s="141" t="s">
        <v>29</v>
      </c>
      <c r="E178" s="141"/>
      <c r="F178" s="141"/>
      <c r="G178" s="141"/>
      <c r="H178" s="12" t="s">
        <v>133</v>
      </c>
      <c r="I178" s="8" t="s">
        <v>2560</v>
      </c>
      <c r="J178" s="16" t="s">
        <v>461</v>
      </c>
      <c r="K178" s="16"/>
      <c r="L178" s="16"/>
      <c r="M178" s="176">
        <v>42917</v>
      </c>
      <c r="N178" s="176"/>
      <c r="O178" s="176">
        <v>43191</v>
      </c>
      <c r="P178" s="12">
        <v>36</v>
      </c>
      <c r="Q178" s="12" t="s">
        <v>236</v>
      </c>
      <c r="R178" s="18">
        <v>120000</v>
      </c>
      <c r="S178" s="5" t="s">
        <v>163</v>
      </c>
      <c r="T178" s="12" t="s">
        <v>54</v>
      </c>
      <c r="U178" s="4"/>
      <c r="V178" s="4"/>
      <c r="W178" s="5" t="s">
        <v>462</v>
      </c>
      <c r="X178" s="12" t="s">
        <v>2638</v>
      </c>
      <c r="Y178" s="5" t="s">
        <v>457</v>
      </c>
      <c r="Z178" s="5"/>
      <c r="AA178" s="5"/>
      <c r="AB178" s="12"/>
      <c r="AC178" s="8" t="s">
        <v>2790</v>
      </c>
      <c r="AD178" s="1379"/>
      <c r="AE178" s="219">
        <v>33600</v>
      </c>
      <c r="AF178"/>
    </row>
    <row r="179" spans="1:51" ht="28.8">
      <c r="A179" s="454"/>
      <c r="B179" s="1" t="s">
        <v>28</v>
      </c>
      <c r="C179" s="4"/>
      <c r="D179" s="112" t="s">
        <v>29</v>
      </c>
      <c r="E179" s="112"/>
      <c r="F179" s="112"/>
      <c r="G179" s="112"/>
      <c r="H179" s="5" t="s">
        <v>2791</v>
      </c>
      <c r="I179" s="5" t="s">
        <v>64</v>
      </c>
      <c r="J179" s="1339" t="s">
        <v>235</v>
      </c>
      <c r="K179" s="1339"/>
      <c r="L179" s="1339"/>
      <c r="M179" s="1329">
        <v>42917</v>
      </c>
      <c r="N179" s="1329"/>
      <c r="O179" s="1329">
        <v>43191</v>
      </c>
      <c r="P179" s="1330">
        <v>60</v>
      </c>
      <c r="Q179" s="1332" t="s">
        <v>2792</v>
      </c>
      <c r="R179" s="18">
        <v>230000</v>
      </c>
      <c r="S179" s="1338" t="s">
        <v>66</v>
      </c>
      <c r="T179" s="1330" t="s">
        <v>54</v>
      </c>
      <c r="U179" s="4"/>
      <c r="V179" s="4"/>
      <c r="W179" s="1330" t="s">
        <v>2793</v>
      </c>
      <c r="X179" s="1335" t="s">
        <v>150</v>
      </c>
      <c r="Y179" s="5" t="s">
        <v>457</v>
      </c>
      <c r="Z179" s="5"/>
      <c r="AA179" s="1383"/>
      <c r="AB179" s="1337">
        <v>43361</v>
      </c>
      <c r="AC179" s="101" t="s">
        <v>2794</v>
      </c>
      <c r="AD179" s="141"/>
      <c r="AE179" s="1384"/>
      <c r="AF179" s="1"/>
    </row>
    <row r="180" spans="1:51" ht="43.2">
      <c r="A180" s="454"/>
      <c r="B180" s="1" t="s">
        <v>28</v>
      </c>
      <c r="C180" s="4"/>
      <c r="D180" s="141" t="s">
        <v>60</v>
      </c>
      <c r="E180" s="141"/>
      <c r="F180" s="141"/>
      <c r="G180" s="141"/>
      <c r="H180" s="5" t="s">
        <v>260</v>
      </c>
      <c r="I180" s="8" t="s">
        <v>34</v>
      </c>
      <c r="J180" s="16" t="s">
        <v>2795</v>
      </c>
      <c r="K180" s="16"/>
      <c r="L180" s="16"/>
      <c r="M180" s="176">
        <v>42927</v>
      </c>
      <c r="N180" s="176"/>
      <c r="O180" s="176">
        <v>43191</v>
      </c>
      <c r="P180" s="12">
        <v>36</v>
      </c>
      <c r="Q180" s="7"/>
      <c r="R180" s="18">
        <v>8100</v>
      </c>
      <c r="S180" s="30" t="s">
        <v>2688</v>
      </c>
      <c r="T180" s="12" t="s">
        <v>54</v>
      </c>
      <c r="U180" s="4"/>
      <c r="V180" s="4"/>
      <c r="W180" s="5" t="s">
        <v>233</v>
      </c>
      <c r="X180" s="12" t="s">
        <v>2638</v>
      </c>
      <c r="Y180" s="5" t="s">
        <v>457</v>
      </c>
      <c r="Z180" s="5"/>
      <c r="AA180" s="5"/>
      <c r="AB180" s="12"/>
      <c r="AC180" s="8" t="s">
        <v>2711</v>
      </c>
      <c r="AD180" s="1379"/>
      <c r="AE180" s="219"/>
      <c r="AF180" s="1"/>
    </row>
    <row r="181" spans="1:51" s="1" customFormat="1" ht="28.8">
      <c r="A181" s="852"/>
      <c r="B181" s="1" t="s">
        <v>28</v>
      </c>
      <c r="C181" s="1347"/>
      <c r="D181" s="112" t="s">
        <v>29</v>
      </c>
      <c r="E181" s="112"/>
      <c r="F181" s="112"/>
      <c r="G181" s="112"/>
      <c r="H181" s="5" t="s">
        <v>81</v>
      </c>
      <c r="I181" s="12" t="s">
        <v>64</v>
      </c>
      <c r="J181" s="16" t="s">
        <v>2796</v>
      </c>
      <c r="K181" s="8"/>
      <c r="L181" s="8"/>
      <c r="M181" s="176">
        <v>42948</v>
      </c>
      <c r="N181" s="176"/>
      <c r="O181" s="176">
        <v>43191</v>
      </c>
      <c r="P181" s="12">
        <v>84</v>
      </c>
      <c r="Q181" s="25" t="s">
        <v>2797</v>
      </c>
      <c r="R181" s="18" t="s">
        <v>2798</v>
      </c>
      <c r="S181" s="30" t="s">
        <v>98</v>
      </c>
      <c r="T181" s="11" t="s">
        <v>54</v>
      </c>
      <c r="U181" s="1347"/>
      <c r="V181" s="1347"/>
      <c r="W181" s="12" t="s">
        <v>2799</v>
      </c>
      <c r="X181" s="5" t="s">
        <v>150</v>
      </c>
      <c r="Y181" s="5" t="s">
        <v>457</v>
      </c>
      <c r="Z181" s="5"/>
      <c r="AA181" s="12"/>
      <c r="AB181" s="193">
        <v>43292</v>
      </c>
      <c r="AC181" s="8" t="s">
        <v>2800</v>
      </c>
      <c r="AD181" s="141"/>
      <c r="AE181" s="219">
        <v>40000</v>
      </c>
      <c r="AF181"/>
    </row>
    <row r="182" spans="1:51" s="53" customFormat="1" ht="28.8">
      <c r="A182" s="454"/>
      <c r="B182" s="1" t="s">
        <v>28</v>
      </c>
      <c r="C182" s="4"/>
      <c r="D182" s="112" t="s">
        <v>82</v>
      </c>
      <c r="E182" s="112"/>
      <c r="F182" s="112"/>
      <c r="G182" s="112"/>
      <c r="H182" s="5" t="s">
        <v>2801</v>
      </c>
      <c r="I182" s="86" t="s">
        <v>34</v>
      </c>
      <c r="J182" s="97" t="s">
        <v>1094</v>
      </c>
      <c r="K182" s="83"/>
      <c r="L182" s="83"/>
      <c r="M182" s="84">
        <v>42979</v>
      </c>
      <c r="N182" s="84"/>
      <c r="O182" s="84">
        <v>43191</v>
      </c>
      <c r="P182" s="85">
        <v>60</v>
      </c>
      <c r="Q182" s="99" t="s">
        <v>162</v>
      </c>
      <c r="R182" s="18">
        <v>25000</v>
      </c>
      <c r="S182" s="30" t="s">
        <v>1412</v>
      </c>
      <c r="T182" s="439" t="s">
        <v>54</v>
      </c>
      <c r="U182" s="4"/>
      <c r="V182" s="4"/>
      <c r="W182" s="86" t="s">
        <v>1096</v>
      </c>
      <c r="X182" s="12" t="s">
        <v>2689</v>
      </c>
      <c r="Y182" s="5" t="s">
        <v>457</v>
      </c>
      <c r="Z182" s="5"/>
      <c r="AA182" s="5"/>
      <c r="AB182" s="7"/>
      <c r="AC182" s="8" t="s">
        <v>2802</v>
      </c>
      <c r="AD182" s="141"/>
      <c r="AE182" s="218"/>
    </row>
    <row r="183" spans="1:51" ht="43.2">
      <c r="A183" s="454"/>
      <c r="B183" s="1" t="s">
        <v>28</v>
      </c>
      <c r="C183" s="4"/>
      <c r="D183" s="141" t="s">
        <v>29</v>
      </c>
      <c r="E183" s="141"/>
      <c r="F183" s="141"/>
      <c r="G183" s="141"/>
      <c r="H183" s="5" t="s">
        <v>70</v>
      </c>
      <c r="I183" s="8" t="s">
        <v>64</v>
      </c>
      <c r="J183" s="16" t="s">
        <v>2803</v>
      </c>
      <c r="K183" s="16"/>
      <c r="L183" s="16"/>
      <c r="M183" s="176">
        <v>42979</v>
      </c>
      <c r="N183" s="176"/>
      <c r="O183" s="176">
        <v>43191</v>
      </c>
      <c r="P183" s="12">
        <v>12</v>
      </c>
      <c r="Q183" s="28" t="s">
        <v>108</v>
      </c>
      <c r="R183" s="18">
        <v>17000</v>
      </c>
      <c r="S183" s="30" t="s">
        <v>35</v>
      </c>
      <c r="T183" s="12" t="s">
        <v>54</v>
      </c>
      <c r="U183" s="4"/>
      <c r="V183" s="4"/>
      <c r="W183" s="5" t="s">
        <v>2804</v>
      </c>
      <c r="X183" s="12" t="s">
        <v>150</v>
      </c>
      <c r="Y183" s="5" t="s">
        <v>457</v>
      </c>
      <c r="Z183" s="5"/>
      <c r="AA183" s="5"/>
      <c r="AB183" s="13"/>
      <c r="AC183" s="16" t="s">
        <v>2805</v>
      </c>
      <c r="AD183" s="141"/>
      <c r="AE183" s="219"/>
      <c r="AF183" s="53"/>
    </row>
    <row r="184" spans="1:51" s="284" customFormat="1" ht="57.6">
      <c r="A184" s="454"/>
      <c r="B184" s="1" t="s">
        <v>28</v>
      </c>
      <c r="C184" s="4"/>
      <c r="D184" s="8" t="s">
        <v>29</v>
      </c>
      <c r="E184" s="8"/>
      <c r="F184" s="8"/>
      <c r="G184" s="8"/>
      <c r="H184" s="5" t="s">
        <v>81</v>
      </c>
      <c r="I184" s="12" t="s">
        <v>34</v>
      </c>
      <c r="J184" s="16" t="s">
        <v>2806</v>
      </c>
      <c r="K184" s="8"/>
      <c r="L184" s="8"/>
      <c r="M184" s="176">
        <v>43004</v>
      </c>
      <c r="N184" s="176"/>
      <c r="O184" s="176">
        <v>43191</v>
      </c>
      <c r="P184" s="12">
        <v>12</v>
      </c>
      <c r="Q184" s="7" t="s">
        <v>108</v>
      </c>
      <c r="R184" s="18">
        <v>6650</v>
      </c>
      <c r="S184" s="5" t="s">
        <v>1195</v>
      </c>
      <c r="T184" s="12" t="s">
        <v>54</v>
      </c>
      <c r="U184" s="4"/>
      <c r="V184" s="4"/>
      <c r="W184" s="5" t="s">
        <v>1118</v>
      </c>
      <c r="X184" s="5" t="s">
        <v>150</v>
      </c>
      <c r="Y184" s="5" t="s">
        <v>457</v>
      </c>
      <c r="Z184" s="5"/>
      <c r="AA184" s="5"/>
      <c r="AB184" s="5"/>
      <c r="AC184" s="8" t="s">
        <v>2807</v>
      </c>
      <c r="AD184" s="4"/>
      <c r="AE184" s="218"/>
      <c r="AF184" s="1"/>
      <c r="AG184" s="1356"/>
      <c r="AH184" s="1356"/>
      <c r="AI184" s="1356"/>
      <c r="AJ184" s="1356"/>
      <c r="AK184" s="1356"/>
      <c r="AL184" s="1356"/>
      <c r="AM184" s="1356"/>
      <c r="AN184" s="1356"/>
      <c r="AO184" s="1356"/>
      <c r="AP184" s="1356"/>
      <c r="AQ184" s="1356"/>
      <c r="AR184" s="1356"/>
      <c r="AS184" s="1356"/>
      <c r="AT184" s="1356"/>
      <c r="AU184" s="1356"/>
      <c r="AV184" s="1356"/>
      <c r="AW184" s="1356"/>
      <c r="AX184" s="1356"/>
      <c r="AY184" s="1356"/>
    </row>
    <row r="185" spans="1:51" ht="43.2">
      <c r="A185" s="852"/>
      <c r="B185" s="1" t="s">
        <v>28</v>
      </c>
      <c r="C185" s="4"/>
      <c r="D185" s="141" t="s">
        <v>60</v>
      </c>
      <c r="E185" s="141"/>
      <c r="F185" s="141"/>
      <c r="G185" s="141"/>
      <c r="H185" s="5" t="s">
        <v>260</v>
      </c>
      <c r="I185" s="8" t="s">
        <v>34</v>
      </c>
      <c r="J185" s="16" t="s">
        <v>2808</v>
      </c>
      <c r="K185" s="8"/>
      <c r="L185" s="8"/>
      <c r="M185" s="14">
        <v>43040</v>
      </c>
      <c r="N185" s="14"/>
      <c r="O185" s="14">
        <v>43191</v>
      </c>
      <c r="P185" s="12">
        <v>8</v>
      </c>
      <c r="Q185" s="26">
        <v>8</v>
      </c>
      <c r="R185" s="76">
        <v>660000</v>
      </c>
      <c r="S185" s="30" t="s">
        <v>2648</v>
      </c>
      <c r="T185" s="14" t="s">
        <v>54</v>
      </c>
      <c r="U185" s="4"/>
      <c r="V185" s="4"/>
      <c r="W185" s="5" t="s">
        <v>233</v>
      </c>
      <c r="X185" s="5" t="s">
        <v>2638</v>
      </c>
      <c r="Y185" s="5" t="s">
        <v>457</v>
      </c>
      <c r="Z185" s="5"/>
      <c r="AA185" s="5"/>
      <c r="AB185" s="13"/>
      <c r="AC185" s="16" t="s">
        <v>2809</v>
      </c>
      <c r="AD185" s="141"/>
      <c r="AE185" s="26">
        <v>165000</v>
      </c>
      <c r="AF185" s="1"/>
    </row>
    <row r="186" spans="1:51" s="1" customFormat="1" ht="43.2">
      <c r="A186" s="889"/>
      <c r="B186" s="1" t="s">
        <v>28</v>
      </c>
      <c r="C186" s="4"/>
      <c r="D186" s="112" t="s">
        <v>29</v>
      </c>
      <c r="E186" s="112"/>
      <c r="F186" s="112"/>
      <c r="G186" s="112"/>
      <c r="H186" s="5" t="s">
        <v>2810</v>
      </c>
      <c r="I186" s="5" t="s">
        <v>53</v>
      </c>
      <c r="J186" s="16" t="s">
        <v>2811</v>
      </c>
      <c r="K186" s="8"/>
      <c r="L186" s="8"/>
      <c r="M186" s="176">
        <v>43062</v>
      </c>
      <c r="N186" s="176"/>
      <c r="O186" s="176">
        <v>43191</v>
      </c>
      <c r="P186" s="12">
        <v>12</v>
      </c>
      <c r="Q186" s="25" t="s">
        <v>108</v>
      </c>
      <c r="R186" s="18" t="s">
        <v>35</v>
      </c>
      <c r="S186" s="30" t="s">
        <v>53</v>
      </c>
      <c r="T186" s="12" t="s">
        <v>54</v>
      </c>
      <c r="U186" s="4"/>
      <c r="V186" s="4"/>
      <c r="W186" s="5" t="s">
        <v>2812</v>
      </c>
      <c r="X186" s="5" t="s">
        <v>150</v>
      </c>
      <c r="Y186" s="5" t="s">
        <v>179</v>
      </c>
      <c r="Z186" s="5"/>
      <c r="AA186" s="5"/>
      <c r="AB186" s="193">
        <v>43650</v>
      </c>
      <c r="AC186" s="100" t="s">
        <v>2813</v>
      </c>
      <c r="AD186" s="172"/>
      <c r="AE186" s="215"/>
      <c r="AF186"/>
    </row>
    <row r="187" spans="1:51" ht="28.8">
      <c r="A187" s="852"/>
      <c r="B187" s="1" t="s">
        <v>28</v>
      </c>
      <c r="C187" s="4"/>
      <c r="D187" s="141" t="s">
        <v>29</v>
      </c>
      <c r="E187" s="141"/>
      <c r="F187" s="141"/>
      <c r="G187" s="141"/>
      <c r="H187" s="12" t="s">
        <v>70</v>
      </c>
      <c r="I187" s="10" t="s">
        <v>34</v>
      </c>
      <c r="J187" s="16" t="s">
        <v>2814</v>
      </c>
      <c r="K187" s="16"/>
      <c r="L187" s="16"/>
      <c r="M187" s="176">
        <v>43070</v>
      </c>
      <c r="N187" s="176"/>
      <c r="O187" s="176">
        <v>43191</v>
      </c>
      <c r="P187" s="12">
        <v>48</v>
      </c>
      <c r="Q187" s="13" t="s">
        <v>2815</v>
      </c>
      <c r="R187" s="18">
        <v>147961</v>
      </c>
      <c r="S187" s="30" t="s">
        <v>2648</v>
      </c>
      <c r="T187" s="12" t="s">
        <v>54</v>
      </c>
      <c r="U187" s="4"/>
      <c r="V187" s="4"/>
      <c r="W187" s="12" t="s">
        <v>2816</v>
      </c>
      <c r="X187" s="12" t="s">
        <v>2817</v>
      </c>
      <c r="Y187" s="5" t="s">
        <v>457</v>
      </c>
      <c r="Z187" s="5"/>
      <c r="AA187" s="7"/>
      <c r="AB187" s="13"/>
      <c r="AC187" s="4" t="s">
        <v>2818</v>
      </c>
      <c r="AD187" s="141"/>
      <c r="AE187" s="218">
        <v>36990</v>
      </c>
      <c r="AF187" s="34"/>
    </row>
    <row r="188" spans="1:51" s="1" customFormat="1" ht="69" customHeight="1">
      <c r="A188" s="889"/>
      <c r="B188" s="1" t="s">
        <v>28</v>
      </c>
      <c r="C188" s="4"/>
      <c r="D188" s="141" t="s">
        <v>29</v>
      </c>
      <c r="E188" s="141"/>
      <c r="F188" s="141"/>
      <c r="G188" s="141"/>
      <c r="H188" s="5" t="s">
        <v>876</v>
      </c>
      <c r="I188" s="8" t="s">
        <v>34</v>
      </c>
      <c r="J188" s="16" t="s">
        <v>2819</v>
      </c>
      <c r="K188" s="8"/>
      <c r="L188" s="8"/>
      <c r="M188" s="193">
        <v>43101</v>
      </c>
      <c r="N188" s="193"/>
      <c r="O188" s="193">
        <v>43191</v>
      </c>
      <c r="P188" s="5">
        <v>12</v>
      </c>
      <c r="Q188" s="5">
        <v>12</v>
      </c>
      <c r="R188" s="18">
        <v>22000</v>
      </c>
      <c r="S188" s="30" t="s">
        <v>109</v>
      </c>
      <c r="T188" s="11" t="s">
        <v>54</v>
      </c>
      <c r="U188" s="4"/>
      <c r="V188" s="4"/>
      <c r="W188" s="5" t="s">
        <v>878</v>
      </c>
      <c r="X188" s="12" t="s">
        <v>1097</v>
      </c>
      <c r="Y188" s="5" t="s">
        <v>457</v>
      </c>
      <c r="Z188" s="5"/>
      <c r="AA188" s="5"/>
      <c r="AB188" s="5"/>
      <c r="AC188" s="8" t="s">
        <v>2820</v>
      </c>
      <c r="AD188" s="141"/>
      <c r="AE188" s="218">
        <v>22000</v>
      </c>
      <c r="AF188" s="53"/>
    </row>
    <row r="189" spans="1:51" s="53" customFormat="1" ht="100.8">
      <c r="A189" s="889"/>
      <c r="B189" s="1" t="s">
        <v>28</v>
      </c>
      <c r="C189" s="4"/>
      <c r="D189" s="141" t="s">
        <v>29</v>
      </c>
      <c r="E189" s="141"/>
      <c r="F189" s="141"/>
      <c r="G189" s="141"/>
      <c r="H189" s="5" t="s">
        <v>70</v>
      </c>
      <c r="I189" s="8" t="s">
        <v>64</v>
      </c>
      <c r="J189" s="16" t="s">
        <v>2821</v>
      </c>
      <c r="K189" s="16"/>
      <c r="L189" s="16"/>
      <c r="M189" s="176">
        <v>43101</v>
      </c>
      <c r="N189" s="176"/>
      <c r="O189" s="176">
        <v>43191</v>
      </c>
      <c r="P189" s="12">
        <v>12</v>
      </c>
      <c r="Q189" s="13" t="s">
        <v>108</v>
      </c>
      <c r="R189" s="18">
        <v>19055</v>
      </c>
      <c r="S189" s="30" t="s">
        <v>2615</v>
      </c>
      <c r="T189" s="12" t="s">
        <v>54</v>
      </c>
      <c r="U189" s="4"/>
      <c r="V189" s="4"/>
      <c r="W189" s="5" t="s">
        <v>2822</v>
      </c>
      <c r="X189" s="12" t="s">
        <v>184</v>
      </c>
      <c r="Y189" s="5" t="s">
        <v>457</v>
      </c>
      <c r="Z189" s="5"/>
      <c r="AA189" s="5"/>
      <c r="AB189" s="12"/>
      <c r="AC189" s="8" t="s">
        <v>2823</v>
      </c>
      <c r="AD189" s="141"/>
      <c r="AE189" s="219"/>
      <c r="AF189"/>
    </row>
    <row r="190" spans="1:51" ht="28.8">
      <c r="A190" s="888"/>
      <c r="B190" s="1" t="s">
        <v>28</v>
      </c>
      <c r="C190" s="4"/>
      <c r="D190" s="8" t="s">
        <v>29</v>
      </c>
      <c r="E190" s="8"/>
      <c r="F190" s="8"/>
      <c r="G190" s="8"/>
      <c r="H190" s="5" t="s">
        <v>70</v>
      </c>
      <c r="I190" s="12" t="s">
        <v>64</v>
      </c>
      <c r="J190" s="16" t="s">
        <v>2824</v>
      </c>
      <c r="K190" s="16"/>
      <c r="L190" s="16"/>
      <c r="M190" s="176">
        <v>43101</v>
      </c>
      <c r="N190" s="176"/>
      <c r="O190" s="176">
        <v>43191</v>
      </c>
      <c r="P190" s="12">
        <v>12</v>
      </c>
      <c r="Q190" s="7" t="s">
        <v>108</v>
      </c>
      <c r="R190" s="18">
        <v>10149.44</v>
      </c>
      <c r="S190" s="5" t="s">
        <v>2615</v>
      </c>
      <c r="T190" s="12" t="s">
        <v>54</v>
      </c>
      <c r="U190" s="4"/>
      <c r="V190" s="4"/>
      <c r="W190" s="12" t="s">
        <v>113</v>
      </c>
      <c r="X190" s="5" t="s">
        <v>113</v>
      </c>
      <c r="Y190" s="5" t="s">
        <v>457</v>
      </c>
      <c r="Z190" s="5"/>
      <c r="AA190" s="5"/>
      <c r="AB190" s="7"/>
      <c r="AC190" s="8"/>
      <c r="AD190" s="4"/>
      <c r="AE190" s="218"/>
    </row>
    <row r="191" spans="1:51" s="1" customFormat="1" ht="43.2">
      <c r="A191" s="888"/>
      <c r="B191" s="1" t="s">
        <v>28</v>
      </c>
      <c r="C191" s="4"/>
      <c r="D191" s="112" t="s">
        <v>60</v>
      </c>
      <c r="E191" s="112"/>
      <c r="F191" s="112"/>
      <c r="G191" s="112"/>
      <c r="H191" s="5" t="s">
        <v>260</v>
      </c>
      <c r="I191" s="5" t="s">
        <v>34</v>
      </c>
      <c r="J191" s="16" t="s">
        <v>1210</v>
      </c>
      <c r="K191" s="16"/>
      <c r="L191" s="16"/>
      <c r="M191" s="14">
        <v>43132</v>
      </c>
      <c r="N191" s="14"/>
      <c r="O191" s="14">
        <v>43191</v>
      </c>
      <c r="P191" s="12">
        <v>24</v>
      </c>
      <c r="Q191" s="26" t="s">
        <v>366</v>
      </c>
      <c r="R191" s="18">
        <v>16000</v>
      </c>
      <c r="S191" s="5" t="s">
        <v>1195</v>
      </c>
      <c r="T191" s="14" t="s">
        <v>54</v>
      </c>
      <c r="U191" s="4"/>
      <c r="V191" s="4"/>
      <c r="W191" s="5" t="s">
        <v>233</v>
      </c>
      <c r="X191" s="5" t="s">
        <v>2638</v>
      </c>
      <c r="Y191" s="5" t="s">
        <v>457</v>
      </c>
      <c r="Z191" s="5"/>
      <c r="AA191" s="1233"/>
      <c r="AB191" s="193">
        <v>43286</v>
      </c>
      <c r="AC191" s="35" t="s">
        <v>2825</v>
      </c>
      <c r="AD191" s="141"/>
      <c r="AE191" s="220">
        <v>8000</v>
      </c>
    </row>
    <row r="192" spans="1:51" s="53" customFormat="1" ht="51.9" customHeight="1">
      <c r="A192" s="888"/>
      <c r="B192" s="1" t="s">
        <v>28</v>
      </c>
      <c r="C192" s="4"/>
      <c r="D192" s="112" t="s">
        <v>29</v>
      </c>
      <c r="E192" s="112"/>
      <c r="F192" s="112"/>
      <c r="G192" s="112"/>
      <c r="H192" s="5" t="s">
        <v>2810</v>
      </c>
      <c r="I192" s="5" t="s">
        <v>53</v>
      </c>
      <c r="J192" s="16" t="s">
        <v>2826</v>
      </c>
      <c r="K192" s="8"/>
      <c r="L192" s="8"/>
      <c r="M192" s="176">
        <v>43158</v>
      </c>
      <c r="N192" s="176"/>
      <c r="O192" s="176">
        <v>43191</v>
      </c>
      <c r="P192" s="12">
        <v>12</v>
      </c>
      <c r="Q192" s="7" t="s">
        <v>108</v>
      </c>
      <c r="R192" s="18">
        <v>6468</v>
      </c>
      <c r="S192" s="5" t="s">
        <v>66</v>
      </c>
      <c r="T192" s="12" t="s">
        <v>54</v>
      </c>
      <c r="U192" s="4"/>
      <c r="V192" s="4"/>
      <c r="W192" s="5" t="s">
        <v>2812</v>
      </c>
      <c r="X192" s="5" t="s">
        <v>150</v>
      </c>
      <c r="Y192" s="5" t="s">
        <v>457</v>
      </c>
      <c r="Z192" s="5"/>
      <c r="AA192" s="5"/>
      <c r="AB192" s="193">
        <v>43523</v>
      </c>
      <c r="AC192" s="8" t="s">
        <v>2827</v>
      </c>
      <c r="AD192" s="141"/>
      <c r="AE192" s="215"/>
      <c r="AF192" s="1"/>
    </row>
    <row r="193" spans="1:51" s="1" customFormat="1" ht="46.35" customHeight="1">
      <c r="A193" s="852"/>
      <c r="B193" s="712" t="s">
        <v>48</v>
      </c>
      <c r="C193" s="520" t="s">
        <v>1479</v>
      </c>
      <c r="D193" s="727" t="s">
        <v>60</v>
      </c>
      <c r="E193" s="727"/>
      <c r="F193" s="727"/>
      <c r="G193" s="727"/>
      <c r="H193" s="521" t="s">
        <v>127</v>
      </c>
      <c r="I193" s="522" t="s">
        <v>64</v>
      </c>
      <c r="J193" s="1023" t="s">
        <v>1480</v>
      </c>
      <c r="K193" s="522"/>
      <c r="L193" s="523">
        <v>42948</v>
      </c>
      <c r="M193" s="523"/>
      <c r="N193" s="523"/>
      <c r="O193" s="523">
        <v>43191</v>
      </c>
      <c r="P193" s="524">
        <v>48</v>
      </c>
      <c r="Q193" s="769" t="s">
        <v>167</v>
      </c>
      <c r="R193" s="525">
        <v>200000000</v>
      </c>
      <c r="S193" s="526" t="s">
        <v>98</v>
      </c>
      <c r="T193" s="527" t="s">
        <v>54</v>
      </c>
      <c r="U193" s="527"/>
      <c r="V193" s="527"/>
      <c r="W193" s="528" t="s">
        <v>432</v>
      </c>
      <c r="X193" s="114"/>
      <c r="Y193" s="114"/>
      <c r="Z193" s="114"/>
      <c r="AA193" s="180"/>
      <c r="AB193" s="114"/>
      <c r="AC193" s="114"/>
      <c r="AD193" s="303"/>
      <c r="AE193" s="180"/>
      <c r="AF193" s="34"/>
    </row>
    <row r="194" spans="1:51" s="53" customFormat="1" ht="55.2">
      <c r="A194" s="852"/>
      <c r="B194" s="712" t="s">
        <v>48</v>
      </c>
      <c r="C194" s="520"/>
      <c r="D194" s="727" t="s">
        <v>60</v>
      </c>
      <c r="E194" s="727"/>
      <c r="F194" s="727"/>
      <c r="G194" s="727"/>
      <c r="H194" s="521" t="s">
        <v>127</v>
      </c>
      <c r="I194" s="522" t="s">
        <v>34</v>
      </c>
      <c r="J194" s="1023" t="s">
        <v>346</v>
      </c>
      <c r="K194" s="522"/>
      <c r="L194" s="523">
        <v>43190</v>
      </c>
      <c r="M194" s="523"/>
      <c r="N194" s="523"/>
      <c r="O194" s="523">
        <v>43191</v>
      </c>
      <c r="P194" s="524">
        <v>36</v>
      </c>
      <c r="Q194" s="524" t="s">
        <v>298</v>
      </c>
      <c r="R194" s="525">
        <v>108000</v>
      </c>
      <c r="S194" s="790" t="s">
        <v>164</v>
      </c>
      <c r="T194" s="527"/>
      <c r="U194" s="527"/>
      <c r="V194" s="527"/>
      <c r="W194" s="521" t="s">
        <v>347</v>
      </c>
      <c r="X194" s="114"/>
      <c r="Y194" s="114"/>
      <c r="Z194" s="114"/>
      <c r="AA194" s="114"/>
      <c r="AB194" s="114"/>
      <c r="AC194" s="114"/>
      <c r="AD194" s="303"/>
      <c r="AE194"/>
      <c r="AF194"/>
    </row>
    <row r="195" spans="1:51" s="1" customFormat="1" ht="74.25" customHeight="1">
      <c r="A195" s="852"/>
      <c r="B195" s="712" t="s">
        <v>48</v>
      </c>
      <c r="C195" s="465"/>
      <c r="D195" s="554" t="s">
        <v>60</v>
      </c>
      <c r="E195" s="554"/>
      <c r="F195" s="554"/>
      <c r="G195" s="554"/>
      <c r="H195" s="466" t="s">
        <v>127</v>
      </c>
      <c r="I195" s="474" t="s">
        <v>34</v>
      </c>
      <c r="J195" s="1024" t="s">
        <v>1685</v>
      </c>
      <c r="K195" s="467"/>
      <c r="L195" s="540">
        <v>43102</v>
      </c>
      <c r="M195" s="540"/>
      <c r="N195" s="540"/>
      <c r="O195" s="540">
        <v>43191</v>
      </c>
      <c r="P195" s="471">
        <v>1</v>
      </c>
      <c r="Q195" s="471">
        <v>1</v>
      </c>
      <c r="R195" s="542">
        <v>235715</v>
      </c>
      <c r="S195" s="791" t="s">
        <v>1663</v>
      </c>
      <c r="T195" s="470" t="s">
        <v>54</v>
      </c>
      <c r="U195" s="470"/>
      <c r="V195" s="470"/>
      <c r="W195" s="474" t="s">
        <v>1684</v>
      </c>
      <c r="X195" s="114"/>
      <c r="Y195" s="114"/>
      <c r="Z195" s="114"/>
      <c r="AA195" s="114"/>
      <c r="AB195" s="114"/>
      <c r="AC195" s="114"/>
      <c r="AD195" s="303"/>
      <c r="AE195" s="114"/>
      <c r="AF195"/>
    </row>
    <row r="196" spans="1:51" ht="52.8">
      <c r="A196" s="852"/>
      <c r="B196" s="712" t="s">
        <v>48</v>
      </c>
      <c r="C196" s="465"/>
      <c r="D196" s="554" t="s">
        <v>60</v>
      </c>
      <c r="E196" s="554"/>
      <c r="F196" s="554"/>
      <c r="G196" s="554"/>
      <c r="H196" s="466" t="s">
        <v>127</v>
      </c>
      <c r="I196" s="474" t="s">
        <v>34</v>
      </c>
      <c r="J196" s="1024" t="s">
        <v>1753</v>
      </c>
      <c r="K196" s="467"/>
      <c r="L196" s="540" t="s">
        <v>125</v>
      </c>
      <c r="M196" s="540"/>
      <c r="N196" s="540"/>
      <c r="O196" s="540">
        <v>43191</v>
      </c>
      <c r="P196" s="471">
        <v>1</v>
      </c>
      <c r="Q196" s="471">
        <v>1</v>
      </c>
      <c r="R196" s="542">
        <v>35000</v>
      </c>
      <c r="S196" s="791" t="s">
        <v>163</v>
      </c>
      <c r="T196" s="470" t="s">
        <v>54</v>
      </c>
      <c r="U196" s="470"/>
      <c r="V196" s="470"/>
      <c r="W196" s="474" t="s">
        <v>125</v>
      </c>
      <c r="X196" s="114"/>
      <c r="Y196" s="114"/>
      <c r="Z196" s="114"/>
      <c r="AA196" s="114"/>
      <c r="AB196" s="114"/>
      <c r="AC196" s="114"/>
      <c r="AD196" s="303"/>
      <c r="AE196" s="114"/>
      <c r="AF196" s="1"/>
    </row>
    <row r="197" spans="1:51" s="281" customFormat="1" ht="52.8">
      <c r="A197" s="852"/>
      <c r="B197" s="712" t="s">
        <v>48</v>
      </c>
      <c r="C197" s="465" t="s">
        <v>188</v>
      </c>
      <c r="D197" s="554" t="s">
        <v>60</v>
      </c>
      <c r="E197" s="554"/>
      <c r="F197" s="554"/>
      <c r="G197" s="554"/>
      <c r="H197" s="466" t="s">
        <v>127</v>
      </c>
      <c r="I197" s="474" t="s">
        <v>34</v>
      </c>
      <c r="J197" s="1024" t="s">
        <v>1805</v>
      </c>
      <c r="K197" s="467"/>
      <c r="L197" s="485" t="s">
        <v>125</v>
      </c>
      <c r="M197" s="485"/>
      <c r="N197" s="485"/>
      <c r="O197" s="485">
        <v>43191</v>
      </c>
      <c r="P197" s="471">
        <v>4</v>
      </c>
      <c r="Q197" s="761">
        <v>4</v>
      </c>
      <c r="R197" s="542">
        <f>SUM(532687+42879+32616+16308+154674)</f>
        <v>779164</v>
      </c>
      <c r="S197" s="791" t="s">
        <v>1663</v>
      </c>
      <c r="T197" s="470" t="s">
        <v>54</v>
      </c>
      <c r="U197" s="470"/>
      <c r="V197" s="470"/>
      <c r="W197" s="474" t="s">
        <v>1684</v>
      </c>
      <c r="X197" s="114"/>
      <c r="Y197" s="114"/>
      <c r="Z197" s="114"/>
      <c r="AA197" s="114"/>
      <c r="AB197" s="114"/>
      <c r="AC197" s="114"/>
      <c r="AD197" s="303"/>
      <c r="AE197" s="114"/>
      <c r="AF197" s="53"/>
      <c r="AG197" s="1357"/>
      <c r="AH197" s="1357"/>
      <c r="AI197" s="1357"/>
      <c r="AJ197" s="1357"/>
      <c r="AK197" s="1357"/>
      <c r="AL197" s="1357"/>
      <c r="AM197" s="1357"/>
      <c r="AN197" s="1357"/>
      <c r="AO197" s="1357"/>
      <c r="AP197" s="1357"/>
      <c r="AQ197" s="1357"/>
      <c r="AR197" s="1357"/>
      <c r="AS197" s="1357"/>
      <c r="AT197" s="1357"/>
      <c r="AU197" s="1357"/>
      <c r="AV197" s="1357"/>
      <c r="AW197" s="1357"/>
      <c r="AX197" s="1357"/>
      <c r="AY197" s="1357"/>
    </row>
    <row r="198" spans="1:51" s="1" customFormat="1" ht="72.75" customHeight="1">
      <c r="A198" s="888"/>
      <c r="B198" s="1" t="s">
        <v>28</v>
      </c>
      <c r="C198" s="4"/>
      <c r="D198" s="141" t="s">
        <v>29</v>
      </c>
      <c r="E198" s="141"/>
      <c r="F198" s="141"/>
      <c r="G198" s="141"/>
      <c r="H198" s="5" t="s">
        <v>876</v>
      </c>
      <c r="I198" s="8" t="s">
        <v>34</v>
      </c>
      <c r="J198" s="16" t="s">
        <v>2828</v>
      </c>
      <c r="K198" s="8"/>
      <c r="L198" s="8"/>
      <c r="M198" s="193">
        <v>43101</v>
      </c>
      <c r="N198" s="193"/>
      <c r="O198" s="193">
        <v>43192</v>
      </c>
      <c r="P198" s="5">
        <v>24</v>
      </c>
      <c r="Q198" s="25" t="s">
        <v>366</v>
      </c>
      <c r="R198" s="18">
        <v>19000</v>
      </c>
      <c r="S198" s="5" t="s">
        <v>109</v>
      </c>
      <c r="T198" s="11" t="s">
        <v>54</v>
      </c>
      <c r="U198" s="4"/>
      <c r="V198" s="4"/>
      <c r="W198" s="5" t="s">
        <v>878</v>
      </c>
      <c r="X198" s="12" t="s">
        <v>1097</v>
      </c>
      <c r="Y198" s="5" t="s">
        <v>457</v>
      </c>
      <c r="Z198" s="5"/>
      <c r="AA198" s="5"/>
      <c r="AB198" s="5"/>
      <c r="AC198" s="8" t="s">
        <v>2820</v>
      </c>
      <c r="AD198" s="141"/>
      <c r="AE198" s="79">
        <v>19000</v>
      </c>
      <c r="AF198"/>
    </row>
    <row r="199" spans="1:51" s="1" customFormat="1" ht="69">
      <c r="A199" s="852"/>
      <c r="B199" s="712" t="s">
        <v>48</v>
      </c>
      <c r="C199" s="520" t="s">
        <v>1549</v>
      </c>
      <c r="D199" s="727" t="s">
        <v>29</v>
      </c>
      <c r="E199" s="727"/>
      <c r="F199" s="727"/>
      <c r="G199" s="727"/>
      <c r="H199" s="521" t="s">
        <v>49</v>
      </c>
      <c r="I199" s="522" t="s">
        <v>34</v>
      </c>
      <c r="J199" s="1023" t="s">
        <v>1550</v>
      </c>
      <c r="K199" s="522"/>
      <c r="L199" s="523">
        <v>43152</v>
      </c>
      <c r="M199" s="523"/>
      <c r="N199" s="523"/>
      <c r="O199" s="523">
        <v>43193</v>
      </c>
      <c r="P199" s="524" t="s">
        <v>1551</v>
      </c>
      <c r="Q199" s="769" t="s">
        <v>1551</v>
      </c>
      <c r="R199" s="525">
        <v>28000</v>
      </c>
      <c r="S199" s="526" t="s">
        <v>1466</v>
      </c>
      <c r="T199" s="527" t="s">
        <v>54</v>
      </c>
      <c r="U199" s="527"/>
      <c r="V199" s="527"/>
      <c r="W199" s="528" t="s">
        <v>406</v>
      </c>
      <c r="X199" s="114"/>
      <c r="Y199" s="114"/>
      <c r="Z199" s="114"/>
      <c r="AA199" s="180"/>
      <c r="AB199" s="114"/>
      <c r="AC199" s="114"/>
      <c r="AD199" s="303"/>
      <c r="AE199" s="114"/>
      <c r="AF199" s="1356"/>
    </row>
    <row r="200" spans="1:51" s="281" customFormat="1" ht="28.8">
      <c r="A200" s="888"/>
      <c r="B200" s="1" t="s">
        <v>28</v>
      </c>
      <c r="C200" s="4"/>
      <c r="D200" s="112" t="s">
        <v>29</v>
      </c>
      <c r="E200" s="112"/>
      <c r="F200" s="112"/>
      <c r="G200" s="112"/>
      <c r="H200" s="5" t="s">
        <v>70</v>
      </c>
      <c r="I200" s="12" t="s">
        <v>34</v>
      </c>
      <c r="J200" s="16" t="s">
        <v>2829</v>
      </c>
      <c r="K200" s="16"/>
      <c r="L200" s="16"/>
      <c r="M200" s="176">
        <v>43160</v>
      </c>
      <c r="N200" s="176"/>
      <c r="O200" s="176">
        <v>43195</v>
      </c>
      <c r="P200" s="12">
        <v>12</v>
      </c>
      <c r="Q200" s="25" t="s">
        <v>108</v>
      </c>
      <c r="R200" s="18">
        <v>1956</v>
      </c>
      <c r="S200" s="30" t="s">
        <v>2615</v>
      </c>
      <c r="T200" s="12" t="s">
        <v>54</v>
      </c>
      <c r="U200" s="4"/>
      <c r="V200" s="4"/>
      <c r="W200" s="12" t="s">
        <v>113</v>
      </c>
      <c r="X200" s="5" t="s">
        <v>1536</v>
      </c>
      <c r="Y200" s="5" t="s">
        <v>457</v>
      </c>
      <c r="Z200" s="5"/>
      <c r="AA200" s="5"/>
      <c r="AB200" s="7"/>
      <c r="AC200" s="8" t="s">
        <v>2830</v>
      </c>
      <c r="AD200" s="170"/>
      <c r="AE200" s="17"/>
      <c r="AF200"/>
      <c r="AG200" s="1357"/>
      <c r="AH200" s="1357"/>
      <c r="AI200" s="1357"/>
      <c r="AJ200" s="1357"/>
      <c r="AK200" s="1357"/>
      <c r="AL200" s="1357"/>
      <c r="AM200" s="1357"/>
      <c r="AN200" s="1357"/>
      <c r="AO200" s="1357"/>
      <c r="AP200" s="1357"/>
      <c r="AQ200" s="1357"/>
      <c r="AR200" s="1357"/>
      <c r="AS200" s="1357"/>
      <c r="AT200" s="1357"/>
      <c r="AU200" s="1357"/>
      <c r="AV200" s="1357"/>
      <c r="AW200" s="1357"/>
      <c r="AX200" s="1357"/>
      <c r="AY200" s="1357"/>
    </row>
    <row r="201" spans="1:51" s="282" customFormat="1" ht="28.8">
      <c r="A201" s="852"/>
      <c r="B201" s="1" t="s">
        <v>28</v>
      </c>
      <c r="C201" s="4"/>
      <c r="D201" s="112" t="s">
        <v>29</v>
      </c>
      <c r="E201" s="112"/>
      <c r="F201" s="112"/>
      <c r="G201" s="112"/>
      <c r="H201" s="5" t="s">
        <v>70</v>
      </c>
      <c r="I201" s="5" t="s">
        <v>34</v>
      </c>
      <c r="J201" s="16" t="s">
        <v>2831</v>
      </c>
      <c r="K201" s="16"/>
      <c r="L201" s="16"/>
      <c r="M201" s="176">
        <v>43040</v>
      </c>
      <c r="N201" s="176"/>
      <c r="O201" s="176">
        <v>43200</v>
      </c>
      <c r="P201" s="12">
        <v>12</v>
      </c>
      <c r="Q201" s="25" t="s">
        <v>108</v>
      </c>
      <c r="R201" s="18">
        <v>3540</v>
      </c>
      <c r="S201" s="30" t="s">
        <v>2615</v>
      </c>
      <c r="T201" s="12" t="s">
        <v>54</v>
      </c>
      <c r="U201" s="4"/>
      <c r="V201" s="4"/>
      <c r="W201" s="12" t="s">
        <v>2622</v>
      </c>
      <c r="X201" s="5" t="s">
        <v>1097</v>
      </c>
      <c r="Y201" s="5" t="s">
        <v>457</v>
      </c>
      <c r="Z201" s="5"/>
      <c r="AA201" s="5"/>
      <c r="AB201" s="7"/>
      <c r="AC201" s="8" t="s">
        <v>2832</v>
      </c>
      <c r="AD201" s="141"/>
      <c r="AE201" s="17"/>
      <c r="AF201" s="1"/>
      <c r="AG201" s="1360"/>
      <c r="AH201" s="1360"/>
      <c r="AI201" s="1360"/>
      <c r="AJ201" s="1360"/>
      <c r="AK201" s="1360"/>
      <c r="AL201" s="1360"/>
      <c r="AM201" s="1360"/>
      <c r="AN201" s="1360"/>
      <c r="AO201" s="1360"/>
      <c r="AP201" s="1360"/>
      <c r="AQ201" s="1360"/>
      <c r="AR201" s="1360"/>
      <c r="AS201" s="1360"/>
      <c r="AT201" s="1360"/>
      <c r="AU201" s="1360"/>
      <c r="AV201" s="1360"/>
      <c r="AW201" s="1360"/>
      <c r="AX201" s="1360"/>
      <c r="AY201" s="1360"/>
    </row>
    <row r="202" spans="1:51" s="1" customFormat="1" ht="129.6">
      <c r="A202" s="454"/>
      <c r="B202" s="1" t="s">
        <v>28</v>
      </c>
      <c r="C202" s="4"/>
      <c r="D202" s="112" t="s">
        <v>29</v>
      </c>
      <c r="E202" s="112"/>
      <c r="F202" s="112"/>
      <c r="G202" s="112"/>
      <c r="H202" s="5" t="s">
        <v>2695</v>
      </c>
      <c r="I202" s="12" t="s">
        <v>34</v>
      </c>
      <c r="J202" s="16" t="s">
        <v>2614</v>
      </c>
      <c r="K202" s="16"/>
      <c r="L202" s="16"/>
      <c r="M202" s="176">
        <v>42979</v>
      </c>
      <c r="N202" s="176"/>
      <c r="O202" s="176">
        <v>43205</v>
      </c>
      <c r="P202" s="12">
        <v>12</v>
      </c>
      <c r="Q202" s="7" t="s">
        <v>108</v>
      </c>
      <c r="R202" s="18">
        <v>3819.9</v>
      </c>
      <c r="S202" s="30" t="s">
        <v>2615</v>
      </c>
      <c r="T202" s="12" t="s">
        <v>54</v>
      </c>
      <c r="U202" s="4"/>
      <c r="V202" s="4"/>
      <c r="W202" s="12" t="s">
        <v>2616</v>
      </c>
      <c r="X202" s="12" t="s">
        <v>1091</v>
      </c>
      <c r="Y202" s="5" t="s">
        <v>457</v>
      </c>
      <c r="Z202" s="5"/>
      <c r="AA202" s="5"/>
      <c r="AB202" s="7"/>
      <c r="AC202" s="8" t="s">
        <v>2833</v>
      </c>
      <c r="AD202" s="141"/>
      <c r="AE202" s="17">
        <v>3819.9</v>
      </c>
      <c r="AF202"/>
    </row>
    <row r="203" spans="1:51" s="1" customFormat="1" ht="57.6">
      <c r="A203" s="852"/>
      <c r="B203" s="1" t="s">
        <v>28</v>
      </c>
      <c r="C203" s="4"/>
      <c r="D203" s="112" t="s">
        <v>29</v>
      </c>
      <c r="E203" s="112"/>
      <c r="F203" s="112"/>
      <c r="G203" s="112"/>
      <c r="H203" s="5" t="s">
        <v>311</v>
      </c>
      <c r="I203" s="5" t="s">
        <v>34</v>
      </c>
      <c r="J203" s="16" t="s">
        <v>880</v>
      </c>
      <c r="K203" s="8"/>
      <c r="L203" s="8"/>
      <c r="M203" s="193">
        <v>42948</v>
      </c>
      <c r="N203" s="193"/>
      <c r="O203" s="199">
        <v>43209</v>
      </c>
      <c r="P203" s="55">
        <v>24</v>
      </c>
      <c r="Q203" s="197" t="s">
        <v>365</v>
      </c>
      <c r="R203" s="195">
        <v>20000</v>
      </c>
      <c r="S203" s="200" t="s">
        <v>2834</v>
      </c>
      <c r="T203" s="11" t="s">
        <v>54</v>
      </c>
      <c r="U203" s="4"/>
      <c r="V203" s="4"/>
      <c r="W203" s="5" t="s">
        <v>2767</v>
      </c>
      <c r="X203" s="5" t="s">
        <v>2638</v>
      </c>
      <c r="Y203" s="5" t="s">
        <v>457</v>
      </c>
      <c r="Z203" s="5"/>
      <c r="AA203" s="5"/>
      <c r="AB203" s="7"/>
      <c r="AC203" s="8" t="s">
        <v>2835</v>
      </c>
      <c r="AD203" s="141"/>
      <c r="AE203" s="79">
        <v>10000</v>
      </c>
    </row>
    <row r="204" spans="1:51" s="281" customFormat="1" ht="43.2">
      <c r="A204" s="852"/>
      <c r="B204" s="1" t="s">
        <v>28</v>
      </c>
      <c r="C204" s="4"/>
      <c r="D204" s="141" t="s">
        <v>29</v>
      </c>
      <c r="E204" s="141"/>
      <c r="F204" s="141"/>
      <c r="G204" s="141"/>
      <c r="H204" s="12" t="s">
        <v>2810</v>
      </c>
      <c r="I204" s="10" t="s">
        <v>34</v>
      </c>
      <c r="J204" s="97" t="s">
        <v>2836</v>
      </c>
      <c r="K204" s="97"/>
      <c r="L204" s="97"/>
      <c r="M204" s="176">
        <v>42979</v>
      </c>
      <c r="N204" s="176"/>
      <c r="O204" s="176">
        <v>43210</v>
      </c>
      <c r="P204" s="12">
        <v>24</v>
      </c>
      <c r="Q204" s="25" t="s">
        <v>365</v>
      </c>
      <c r="R204" s="18">
        <v>18000</v>
      </c>
      <c r="S204" s="30" t="s">
        <v>2837</v>
      </c>
      <c r="T204" s="12" t="s">
        <v>54</v>
      </c>
      <c r="U204" s="4"/>
      <c r="V204" s="4"/>
      <c r="W204" s="12" t="s">
        <v>2838</v>
      </c>
      <c r="X204" s="12" t="s">
        <v>2638</v>
      </c>
      <c r="Y204" s="5" t="s">
        <v>457</v>
      </c>
      <c r="Z204" s="5"/>
      <c r="AA204" s="5"/>
      <c r="AB204" s="12"/>
      <c r="AC204" s="8" t="s">
        <v>2839</v>
      </c>
      <c r="AD204" s="141" t="s">
        <v>2840</v>
      </c>
      <c r="AE204" s="17">
        <v>9500</v>
      </c>
      <c r="AF204" s="53"/>
      <c r="AG204" s="1357"/>
      <c r="AH204" s="1357"/>
      <c r="AI204" s="1357"/>
      <c r="AJ204" s="1357"/>
      <c r="AK204" s="1357"/>
      <c r="AL204" s="1357"/>
      <c r="AM204" s="1357"/>
      <c r="AN204" s="1357"/>
      <c r="AO204" s="1357"/>
      <c r="AP204" s="1357"/>
      <c r="AQ204" s="1357"/>
      <c r="AR204" s="1357"/>
      <c r="AS204" s="1357"/>
      <c r="AT204" s="1357"/>
      <c r="AU204" s="1357"/>
      <c r="AV204" s="1357"/>
      <c r="AW204" s="1357"/>
      <c r="AX204" s="1357"/>
      <c r="AY204" s="1357"/>
    </row>
    <row r="205" spans="1:51" s="281" customFormat="1" ht="69">
      <c r="A205" s="852"/>
      <c r="B205" s="712" t="s">
        <v>48</v>
      </c>
      <c r="C205" s="520" t="s">
        <v>1579</v>
      </c>
      <c r="D205" s="727" t="s">
        <v>29</v>
      </c>
      <c r="E205" s="727"/>
      <c r="F205" s="727"/>
      <c r="G205" s="727"/>
      <c r="H205" s="521" t="s">
        <v>49</v>
      </c>
      <c r="I205" s="522" t="s">
        <v>34</v>
      </c>
      <c r="J205" s="1023" t="s">
        <v>1580</v>
      </c>
      <c r="K205" s="522"/>
      <c r="L205" s="535" t="s">
        <v>1581</v>
      </c>
      <c r="M205" s="535"/>
      <c r="N205" s="535"/>
      <c r="O205" s="523">
        <v>43213</v>
      </c>
      <c r="P205" s="524">
        <v>1</v>
      </c>
      <c r="Q205" s="769">
        <v>1</v>
      </c>
      <c r="R205" s="525">
        <v>25000</v>
      </c>
      <c r="S205" s="790" t="s">
        <v>1466</v>
      </c>
      <c r="T205" s="527" t="s">
        <v>54</v>
      </c>
      <c r="U205" s="527"/>
      <c r="V205" s="527"/>
      <c r="W205" s="528" t="s">
        <v>406</v>
      </c>
      <c r="X205" s="114"/>
      <c r="Y205" s="114"/>
      <c r="Z205" s="114"/>
      <c r="AA205" s="114"/>
      <c r="AB205" s="114"/>
      <c r="AC205" s="114"/>
      <c r="AD205" s="303"/>
      <c r="AE205" s="114"/>
      <c r="AF205"/>
      <c r="AG205" s="1357"/>
      <c r="AH205" s="1357"/>
      <c r="AI205" s="1357"/>
      <c r="AJ205" s="1357"/>
      <c r="AK205" s="1357"/>
      <c r="AL205" s="1357"/>
      <c r="AM205" s="1357"/>
      <c r="AN205" s="1357"/>
      <c r="AO205" s="1357"/>
      <c r="AP205" s="1357"/>
      <c r="AQ205" s="1357"/>
      <c r="AR205" s="1357"/>
      <c r="AS205" s="1357"/>
      <c r="AT205" s="1357"/>
      <c r="AU205" s="1357"/>
      <c r="AV205" s="1357"/>
      <c r="AW205" s="1357"/>
      <c r="AX205" s="1357"/>
      <c r="AY205" s="1357"/>
    </row>
    <row r="206" spans="1:51" s="281" customFormat="1" ht="28.8">
      <c r="A206" s="888"/>
      <c r="B206" s="1" t="s">
        <v>28</v>
      </c>
      <c r="C206" s="4"/>
      <c r="D206" s="117" t="s">
        <v>29</v>
      </c>
      <c r="E206" s="117"/>
      <c r="F206" s="117"/>
      <c r="G206" s="117"/>
      <c r="H206" s="5" t="s">
        <v>70</v>
      </c>
      <c r="I206" s="12" t="s">
        <v>34</v>
      </c>
      <c r="J206" s="16" t="s">
        <v>1222</v>
      </c>
      <c r="K206" s="16"/>
      <c r="L206" s="16"/>
      <c r="M206" s="176">
        <v>43070</v>
      </c>
      <c r="N206" s="176"/>
      <c r="O206" s="176">
        <v>43215</v>
      </c>
      <c r="P206" s="12">
        <v>12</v>
      </c>
      <c r="Q206" s="28" t="s">
        <v>108</v>
      </c>
      <c r="R206" s="18">
        <v>655</v>
      </c>
      <c r="S206" s="30" t="s">
        <v>2615</v>
      </c>
      <c r="T206" s="12" t="s">
        <v>54</v>
      </c>
      <c r="U206" s="4"/>
      <c r="V206" s="4"/>
      <c r="W206" s="12" t="s">
        <v>113</v>
      </c>
      <c r="X206" s="5" t="s">
        <v>1097</v>
      </c>
      <c r="Y206" s="5" t="s">
        <v>457</v>
      </c>
      <c r="Z206" s="5"/>
      <c r="AA206" s="12"/>
      <c r="AB206" s="5"/>
      <c r="AC206" s="8"/>
      <c r="AD206" s="141"/>
      <c r="AE206" s="17"/>
      <c r="AF206" s="1"/>
      <c r="AG206" s="1357"/>
      <c r="AH206" s="1357"/>
      <c r="AI206" s="1357"/>
      <c r="AJ206" s="1357"/>
      <c r="AK206" s="1357"/>
      <c r="AL206" s="1357"/>
      <c r="AM206" s="1357"/>
      <c r="AN206" s="1357"/>
      <c r="AO206" s="1357"/>
      <c r="AP206" s="1357"/>
      <c r="AQ206" s="1357"/>
      <c r="AR206" s="1357"/>
      <c r="AS206" s="1357"/>
      <c r="AT206" s="1357"/>
      <c r="AU206" s="1357"/>
      <c r="AV206" s="1357"/>
      <c r="AW206" s="1357"/>
      <c r="AX206" s="1357"/>
      <c r="AY206" s="1357"/>
    </row>
    <row r="207" spans="1:51" s="281" customFormat="1" ht="43.2">
      <c r="A207" s="852"/>
      <c r="B207" s="1" t="s">
        <v>28</v>
      </c>
      <c r="C207" s="4"/>
      <c r="D207" s="112" t="s">
        <v>82</v>
      </c>
      <c r="E207" s="112"/>
      <c r="F207" s="112"/>
      <c r="G207" s="112"/>
      <c r="H207" s="86" t="s">
        <v>70</v>
      </c>
      <c r="I207" s="5" t="s">
        <v>34</v>
      </c>
      <c r="J207" s="97" t="s">
        <v>2841</v>
      </c>
      <c r="K207" s="83"/>
      <c r="L207" s="83"/>
      <c r="M207" s="84">
        <v>42979</v>
      </c>
      <c r="N207" s="84"/>
      <c r="O207" s="84">
        <v>43221</v>
      </c>
      <c r="P207" s="85">
        <v>36</v>
      </c>
      <c r="Q207" s="99">
        <v>36</v>
      </c>
      <c r="R207" s="18">
        <v>78750</v>
      </c>
      <c r="S207" s="30" t="s">
        <v>164</v>
      </c>
      <c r="T207" s="439" t="s">
        <v>54</v>
      </c>
      <c r="U207" s="4"/>
      <c r="V207" s="4"/>
      <c r="W207" s="5" t="s">
        <v>2842</v>
      </c>
      <c r="X207" s="5" t="s">
        <v>1536</v>
      </c>
      <c r="Y207" s="5" t="s">
        <v>457</v>
      </c>
      <c r="Z207" s="5"/>
      <c r="AA207" s="5"/>
      <c r="AB207" s="193">
        <v>43290</v>
      </c>
      <c r="AC207" s="8" t="s">
        <v>2843</v>
      </c>
      <c r="AD207" s="141"/>
      <c r="AE207" s="178">
        <v>26250</v>
      </c>
      <c r="AF207" s="53"/>
      <c r="AG207" s="1357"/>
      <c r="AH207" s="1357"/>
      <c r="AI207" s="1357"/>
      <c r="AJ207" s="1357"/>
      <c r="AK207" s="1357"/>
      <c r="AL207" s="1357"/>
      <c r="AM207" s="1357"/>
      <c r="AN207" s="1357"/>
      <c r="AO207" s="1357"/>
      <c r="AP207" s="1357"/>
      <c r="AQ207" s="1357"/>
      <c r="AR207" s="1357"/>
      <c r="AS207" s="1357"/>
      <c r="AT207" s="1357"/>
      <c r="AU207" s="1357"/>
      <c r="AV207" s="1357"/>
      <c r="AW207" s="1357"/>
      <c r="AX207" s="1357"/>
      <c r="AY207" s="1357"/>
    </row>
    <row r="208" spans="1:51" s="281" customFormat="1" ht="107.85" customHeight="1">
      <c r="A208" s="888"/>
      <c r="B208" s="1" t="s">
        <v>28</v>
      </c>
      <c r="C208" s="4"/>
      <c r="D208" s="112"/>
      <c r="E208" s="112"/>
      <c r="F208" s="112"/>
      <c r="G208" s="112"/>
      <c r="H208" s="5" t="s">
        <v>2844</v>
      </c>
      <c r="I208" s="5" t="s">
        <v>34</v>
      </c>
      <c r="J208" s="16" t="s">
        <v>2845</v>
      </c>
      <c r="K208" s="16"/>
      <c r="L208" s="16"/>
      <c r="M208" s="176">
        <v>43191</v>
      </c>
      <c r="N208" s="176"/>
      <c r="O208" s="176">
        <v>43221</v>
      </c>
      <c r="P208" s="5">
        <v>2</v>
      </c>
      <c r="Q208" s="25">
        <v>2</v>
      </c>
      <c r="R208" s="18">
        <v>27500</v>
      </c>
      <c r="S208" s="30" t="s">
        <v>164</v>
      </c>
      <c r="T208" s="12" t="s">
        <v>110</v>
      </c>
      <c r="U208" s="4"/>
      <c r="V208" s="4"/>
      <c r="W208" s="5" t="s">
        <v>182</v>
      </c>
      <c r="X208" s="5" t="s">
        <v>1097</v>
      </c>
      <c r="Y208" s="5" t="s">
        <v>457</v>
      </c>
      <c r="Z208" s="5"/>
      <c r="AA208" s="5"/>
      <c r="AB208" s="7"/>
      <c r="AC208" s="8" t="s">
        <v>2846</v>
      </c>
      <c r="AD208" s="141"/>
      <c r="AE208" s="17"/>
      <c r="AF208" s="1"/>
      <c r="AG208" s="1357"/>
      <c r="AH208" s="1357"/>
      <c r="AI208" s="1357"/>
      <c r="AJ208" s="1357"/>
      <c r="AK208" s="1357"/>
      <c r="AL208" s="1357"/>
      <c r="AM208" s="1357"/>
      <c r="AN208" s="1357"/>
      <c r="AO208" s="1357"/>
      <c r="AP208" s="1357"/>
      <c r="AQ208" s="1357"/>
      <c r="AR208" s="1357"/>
      <c r="AS208" s="1357"/>
      <c r="AT208" s="1357"/>
      <c r="AU208" s="1357"/>
      <c r="AV208" s="1357"/>
      <c r="AW208" s="1357"/>
      <c r="AX208" s="1357"/>
      <c r="AY208" s="1357"/>
    </row>
    <row r="209" spans="1:51" s="281" customFormat="1" ht="28.8">
      <c r="A209" s="888"/>
      <c r="B209" s="1" t="s">
        <v>28</v>
      </c>
      <c r="C209" s="4"/>
      <c r="D209" s="112" t="s">
        <v>29</v>
      </c>
      <c r="E209" s="112"/>
      <c r="F209" s="112"/>
      <c r="G209" s="112"/>
      <c r="H209" s="5" t="s">
        <v>70</v>
      </c>
      <c r="I209" s="5" t="s">
        <v>34</v>
      </c>
      <c r="J209" s="16" t="s">
        <v>1201</v>
      </c>
      <c r="K209" s="8"/>
      <c r="L209" s="8"/>
      <c r="M209" s="193">
        <v>43193</v>
      </c>
      <c r="N209" s="193"/>
      <c r="O209" s="193">
        <v>43221</v>
      </c>
      <c r="P209" s="12">
        <v>12</v>
      </c>
      <c r="Q209" s="42">
        <v>12</v>
      </c>
      <c r="R209" s="18">
        <v>9470</v>
      </c>
      <c r="S209" s="5" t="s">
        <v>2581</v>
      </c>
      <c r="T209" s="11" t="s">
        <v>54</v>
      </c>
      <c r="U209" s="4"/>
      <c r="V209" s="4"/>
      <c r="W209" s="5" t="s">
        <v>390</v>
      </c>
      <c r="X209" s="5" t="s">
        <v>1053</v>
      </c>
      <c r="Y209" s="5" t="s">
        <v>457</v>
      </c>
      <c r="Z209" s="5"/>
      <c r="AA209" s="26"/>
      <c r="AB209" s="1335" t="s">
        <v>2847</v>
      </c>
      <c r="AC209" s="16" t="s">
        <v>2760</v>
      </c>
      <c r="AD209" s="141"/>
      <c r="AE209" s="79">
        <v>9000</v>
      </c>
      <c r="AF209" s="53"/>
      <c r="AG209" s="1357"/>
      <c r="AH209" s="1357"/>
      <c r="AI209" s="1357"/>
      <c r="AJ209" s="1357"/>
      <c r="AK209" s="1357"/>
      <c r="AL209" s="1357"/>
      <c r="AM209" s="1357"/>
      <c r="AN209" s="1357"/>
      <c r="AO209" s="1357"/>
      <c r="AP209" s="1357"/>
      <c r="AQ209" s="1357"/>
      <c r="AR209" s="1357"/>
      <c r="AS209" s="1357"/>
      <c r="AT209" s="1357"/>
      <c r="AU209" s="1357"/>
      <c r="AV209" s="1357"/>
      <c r="AW209" s="1357"/>
      <c r="AX209" s="1357"/>
      <c r="AY209" s="1357"/>
    </row>
    <row r="210" spans="1:51" s="282" customFormat="1" ht="111.75" customHeight="1">
      <c r="A210" s="852"/>
      <c r="B210" s="712" t="s">
        <v>48</v>
      </c>
      <c r="C210" s="520" t="s">
        <v>1587</v>
      </c>
      <c r="D210" s="727" t="s">
        <v>60</v>
      </c>
      <c r="E210" s="727"/>
      <c r="F210" s="727"/>
      <c r="G210" s="727"/>
      <c r="H210" s="521" t="s">
        <v>127</v>
      </c>
      <c r="I210" s="522" t="s">
        <v>34</v>
      </c>
      <c r="J210" s="1023" t="s">
        <v>1588</v>
      </c>
      <c r="K210" s="522"/>
      <c r="L210" s="523">
        <v>43009</v>
      </c>
      <c r="M210" s="523"/>
      <c r="N210" s="523"/>
      <c r="O210" s="523">
        <v>43221</v>
      </c>
      <c r="P210" s="524">
        <v>84</v>
      </c>
      <c r="Q210" s="769" t="s">
        <v>573</v>
      </c>
      <c r="R210" s="525">
        <f>150000*7</f>
        <v>1050000</v>
      </c>
      <c r="S210" s="797" t="s">
        <v>1523</v>
      </c>
      <c r="T210" s="527" t="s">
        <v>54</v>
      </c>
      <c r="U210" s="527"/>
      <c r="V210" s="527"/>
      <c r="W210" s="528" t="s">
        <v>511</v>
      </c>
      <c r="X210" s="114"/>
      <c r="Y210" s="114"/>
      <c r="Z210" s="114"/>
      <c r="AA210" s="114"/>
      <c r="AB210" s="114"/>
      <c r="AC210" s="114"/>
      <c r="AD210" s="303"/>
      <c r="AE210" s="114"/>
      <c r="AF210" s="1"/>
      <c r="AG210" s="1360"/>
      <c r="AH210" s="1360"/>
      <c r="AI210" s="1360"/>
      <c r="AJ210" s="1360"/>
      <c r="AK210" s="1360"/>
      <c r="AL210" s="1360"/>
      <c r="AM210" s="1360"/>
      <c r="AN210" s="1360"/>
      <c r="AO210" s="1360"/>
      <c r="AP210" s="1360"/>
      <c r="AQ210" s="1360"/>
      <c r="AR210" s="1360"/>
      <c r="AS210" s="1360"/>
      <c r="AT210" s="1360"/>
      <c r="AU210" s="1360"/>
      <c r="AV210" s="1360"/>
      <c r="AW210" s="1360"/>
      <c r="AX210" s="1360"/>
      <c r="AY210" s="1360"/>
    </row>
    <row r="211" spans="1:51" s="1" customFormat="1" ht="43.2">
      <c r="A211" s="888"/>
      <c r="B211" s="1" t="s">
        <v>28</v>
      </c>
      <c r="C211" s="4"/>
      <c r="D211" s="112" t="s">
        <v>29</v>
      </c>
      <c r="E211" s="112"/>
      <c r="F211" s="112"/>
      <c r="G211" s="112"/>
      <c r="H211" s="5" t="s">
        <v>81</v>
      </c>
      <c r="I211" s="5" t="s">
        <v>34</v>
      </c>
      <c r="J211" s="16" t="s">
        <v>805</v>
      </c>
      <c r="K211" s="8"/>
      <c r="L211" s="8"/>
      <c r="M211" s="193">
        <v>43066</v>
      </c>
      <c r="N211" s="193"/>
      <c r="O211" s="193">
        <v>43241</v>
      </c>
      <c r="P211" s="5">
        <v>120</v>
      </c>
      <c r="Q211" s="5" t="s">
        <v>2848</v>
      </c>
      <c r="R211" s="18">
        <v>6140000</v>
      </c>
      <c r="S211" s="30" t="s">
        <v>2849</v>
      </c>
      <c r="T211" s="11" t="s">
        <v>54</v>
      </c>
      <c r="U211" s="4"/>
      <c r="V211" s="4"/>
      <c r="W211" s="5" t="s">
        <v>808</v>
      </c>
      <c r="X211" s="5" t="s">
        <v>2638</v>
      </c>
      <c r="Y211" s="5" t="s">
        <v>457</v>
      </c>
      <c r="Z211" s="5"/>
      <c r="AA211" s="5"/>
      <c r="AB211" s="1385"/>
      <c r="AC211" s="8" t="s">
        <v>2850</v>
      </c>
      <c r="AD211" s="141"/>
      <c r="AE211" s="79">
        <v>614000</v>
      </c>
      <c r="AF211"/>
    </row>
    <row r="212" spans="1:51" s="281" customFormat="1" ht="84.6" customHeight="1">
      <c r="A212" s="888"/>
      <c r="B212" s="1" t="s">
        <v>28</v>
      </c>
      <c r="C212" s="4"/>
      <c r="D212" s="112" t="s">
        <v>29</v>
      </c>
      <c r="E212" s="112"/>
      <c r="F212" s="112"/>
      <c r="G212" s="112"/>
      <c r="H212" s="5" t="s">
        <v>70</v>
      </c>
      <c r="I212" s="5" t="s">
        <v>34</v>
      </c>
      <c r="J212" s="16" t="s">
        <v>2851</v>
      </c>
      <c r="K212" s="16"/>
      <c r="L212" s="16"/>
      <c r="M212" s="176">
        <v>43101</v>
      </c>
      <c r="N212" s="176"/>
      <c r="O212" s="176">
        <v>43241</v>
      </c>
      <c r="P212" s="12">
        <v>12</v>
      </c>
      <c r="Q212" s="13" t="s">
        <v>108</v>
      </c>
      <c r="R212" s="18">
        <v>52540</v>
      </c>
      <c r="S212" s="30" t="s">
        <v>2648</v>
      </c>
      <c r="T212" s="12" t="s">
        <v>54</v>
      </c>
      <c r="U212" s="4"/>
      <c r="V212" s="4"/>
      <c r="W212" s="5" t="s">
        <v>2852</v>
      </c>
      <c r="X212" s="5" t="s">
        <v>2853</v>
      </c>
      <c r="Y212" s="5" t="s">
        <v>457</v>
      </c>
      <c r="Z212" s="5"/>
      <c r="AA212" s="5"/>
      <c r="AB212" s="7"/>
      <c r="AC212" s="8" t="s">
        <v>2854</v>
      </c>
      <c r="AD212" s="141"/>
      <c r="AE212" s="17">
        <v>52540</v>
      </c>
      <c r="AF212" s="1357"/>
      <c r="AG212" s="1357"/>
      <c r="AH212" s="1357"/>
      <c r="AI212" s="1357"/>
      <c r="AJ212" s="1357"/>
      <c r="AK212" s="1357"/>
      <c r="AL212" s="1357"/>
      <c r="AM212" s="1357"/>
      <c r="AN212" s="1357"/>
      <c r="AO212" s="1357"/>
      <c r="AP212" s="1357"/>
      <c r="AQ212" s="1357"/>
      <c r="AR212" s="1357"/>
      <c r="AS212" s="1357"/>
      <c r="AT212" s="1357"/>
      <c r="AU212" s="1357"/>
      <c r="AV212" s="1357"/>
      <c r="AW212" s="1357"/>
      <c r="AX212" s="1357"/>
      <c r="AY212" s="1357"/>
    </row>
    <row r="213" spans="1:51" s="282" customFormat="1" ht="110.4">
      <c r="A213" s="852"/>
      <c r="B213" s="712" t="s">
        <v>48</v>
      </c>
      <c r="C213" s="520" t="s">
        <v>1531</v>
      </c>
      <c r="D213" s="727" t="s">
        <v>60</v>
      </c>
      <c r="E213" s="727"/>
      <c r="F213" s="727"/>
      <c r="G213" s="727"/>
      <c r="H213" s="521" t="s">
        <v>127</v>
      </c>
      <c r="I213" s="522" t="s">
        <v>34</v>
      </c>
      <c r="J213" s="1023" t="s">
        <v>1532</v>
      </c>
      <c r="K213" s="522"/>
      <c r="L213" s="523">
        <v>43180</v>
      </c>
      <c r="M213" s="523"/>
      <c r="N213" s="523"/>
      <c r="O213" s="523">
        <v>43248</v>
      </c>
      <c r="P213" s="524">
        <v>3</v>
      </c>
      <c r="Q213" s="769">
        <v>3</v>
      </c>
      <c r="R213" s="525">
        <f>(288510+204451+291097+205000+494066+212091.4)</f>
        <v>1695215.4</v>
      </c>
      <c r="S213" s="790" t="s">
        <v>1372</v>
      </c>
      <c r="T213" s="527" t="s">
        <v>54</v>
      </c>
      <c r="U213" s="527"/>
      <c r="V213" s="527"/>
      <c r="W213" s="528" t="s">
        <v>1321</v>
      </c>
      <c r="X213" s="114"/>
      <c r="Y213" s="114"/>
      <c r="Z213" s="114"/>
      <c r="AA213" s="114"/>
      <c r="AB213" s="114"/>
      <c r="AC213" s="114"/>
      <c r="AD213" s="303"/>
      <c r="AE213" s="114"/>
      <c r="AF213" s="1"/>
      <c r="AG213" s="1360"/>
      <c r="AH213" s="1360"/>
      <c r="AI213" s="1360"/>
      <c r="AJ213" s="1360"/>
      <c r="AK213" s="1360"/>
      <c r="AL213" s="1360"/>
      <c r="AM213" s="1360"/>
      <c r="AN213" s="1360"/>
      <c r="AO213" s="1360"/>
      <c r="AP213" s="1360"/>
      <c r="AQ213" s="1360"/>
      <c r="AR213" s="1360"/>
      <c r="AS213" s="1360"/>
      <c r="AT213" s="1360"/>
      <c r="AU213" s="1360"/>
      <c r="AV213" s="1360"/>
      <c r="AW213" s="1360"/>
      <c r="AX213" s="1360"/>
      <c r="AY213" s="1360"/>
    </row>
    <row r="214" spans="1:51" s="281" customFormat="1" ht="107.85" customHeight="1">
      <c r="A214" s="852"/>
      <c r="B214" s="712" t="s">
        <v>48</v>
      </c>
      <c r="C214" s="520" t="s">
        <v>1555</v>
      </c>
      <c r="D214" s="727" t="s">
        <v>29</v>
      </c>
      <c r="E214" s="727"/>
      <c r="F214" s="727"/>
      <c r="G214" s="727"/>
      <c r="H214" s="521" t="s">
        <v>49</v>
      </c>
      <c r="I214" s="522" t="s">
        <v>34</v>
      </c>
      <c r="J214" s="1023" t="s">
        <v>1556</v>
      </c>
      <c r="K214" s="522"/>
      <c r="L214" s="523">
        <v>43168</v>
      </c>
      <c r="M214" s="523"/>
      <c r="N214" s="523"/>
      <c r="O214" s="523">
        <v>43248</v>
      </c>
      <c r="P214" s="524">
        <v>2</v>
      </c>
      <c r="Q214" s="769">
        <v>2</v>
      </c>
      <c r="R214" s="525">
        <v>96000</v>
      </c>
      <c r="S214" s="790" t="s">
        <v>1466</v>
      </c>
      <c r="T214" s="527" t="s">
        <v>54</v>
      </c>
      <c r="U214" s="527"/>
      <c r="V214" s="527"/>
      <c r="W214" s="521" t="s">
        <v>1557</v>
      </c>
      <c r="X214" s="114"/>
      <c r="Y214" s="114"/>
      <c r="Z214" s="114"/>
      <c r="AA214" s="114"/>
      <c r="AB214" s="114"/>
      <c r="AC214" s="114"/>
      <c r="AD214" s="303"/>
      <c r="AE214" s="114"/>
      <c r="AF214" s="1"/>
      <c r="AG214" s="1357"/>
      <c r="AH214" s="1357"/>
      <c r="AI214" s="1357"/>
      <c r="AJ214" s="1357"/>
      <c r="AK214" s="1357"/>
      <c r="AL214" s="1357"/>
      <c r="AM214" s="1357"/>
      <c r="AN214" s="1357"/>
      <c r="AO214" s="1357"/>
      <c r="AP214" s="1357"/>
      <c r="AQ214" s="1357"/>
      <c r="AR214" s="1357"/>
      <c r="AS214" s="1357"/>
      <c r="AT214" s="1357"/>
      <c r="AU214" s="1357"/>
      <c r="AV214" s="1357"/>
      <c r="AW214" s="1357"/>
      <c r="AX214" s="1357"/>
      <c r="AY214" s="1357"/>
    </row>
    <row r="215" spans="1:51" s="281" customFormat="1" ht="15.6">
      <c r="A215" s="1061">
        <v>44974</v>
      </c>
      <c r="B215" s="1068" t="s">
        <v>210</v>
      </c>
      <c r="C215" s="1072" t="s">
        <v>2855</v>
      </c>
      <c r="D215" s="1021" t="s">
        <v>2856</v>
      </c>
      <c r="E215" s="1020" t="s">
        <v>210</v>
      </c>
      <c r="F215" s="1020" t="s">
        <v>190</v>
      </c>
      <c r="G215" s="1020" t="s">
        <v>190</v>
      </c>
      <c r="H215" s="1066" t="s">
        <v>190</v>
      </c>
      <c r="I215" s="1066" t="s">
        <v>190</v>
      </c>
      <c r="J215" s="1095" t="s">
        <v>2857</v>
      </c>
      <c r="K215" s="1072" t="s">
        <v>1161</v>
      </c>
      <c r="L215" s="1066" t="s">
        <v>190</v>
      </c>
      <c r="M215" s="1066" t="s">
        <v>190</v>
      </c>
      <c r="N215" s="1066" t="s">
        <v>190</v>
      </c>
      <c r="O215" s="1142">
        <v>43250</v>
      </c>
      <c r="P215" s="1142">
        <v>45075</v>
      </c>
      <c r="Q215" s="1072" t="s">
        <v>2858</v>
      </c>
      <c r="R215" s="1176">
        <v>138005</v>
      </c>
      <c r="S215" s="1021" t="s">
        <v>2859</v>
      </c>
      <c r="T215" s="1066" t="s">
        <v>190</v>
      </c>
      <c r="U215" s="1066" t="s">
        <v>190</v>
      </c>
      <c r="V215" s="1066"/>
      <c r="W215" s="1072" t="s">
        <v>683</v>
      </c>
      <c r="X215" s="1072" t="s">
        <v>1346</v>
      </c>
      <c r="Y215" s="1072" t="s">
        <v>1266</v>
      </c>
      <c r="Z215" s="1066" t="s">
        <v>190</v>
      </c>
      <c r="AA215" s="1204" t="s">
        <v>190</v>
      </c>
      <c r="AB215" s="1066" t="s">
        <v>190</v>
      </c>
      <c r="AC215" s="1095" t="s">
        <v>2860</v>
      </c>
      <c r="AD215" s="1020" t="s">
        <v>190</v>
      </c>
      <c r="AE215" s="1176">
        <v>138005</v>
      </c>
      <c r="AF215"/>
      <c r="AG215" s="1357"/>
      <c r="AH215" s="1357"/>
      <c r="AI215" s="1357"/>
      <c r="AJ215" s="1357"/>
      <c r="AK215" s="1357"/>
      <c r="AL215" s="1357"/>
      <c r="AM215" s="1357"/>
      <c r="AN215" s="1357"/>
      <c r="AO215" s="1357"/>
      <c r="AP215" s="1357"/>
      <c r="AQ215" s="1357"/>
      <c r="AR215" s="1357"/>
      <c r="AS215" s="1357"/>
      <c r="AT215" s="1357"/>
      <c r="AU215" s="1357"/>
      <c r="AV215" s="1357"/>
      <c r="AW215" s="1357"/>
      <c r="AX215" s="1357"/>
      <c r="AY215" s="1357"/>
    </row>
    <row r="216" spans="1:51" s="281" customFormat="1" ht="28.8">
      <c r="A216" s="888"/>
      <c r="B216" s="1" t="s">
        <v>28</v>
      </c>
      <c r="C216" s="167"/>
      <c r="D216" s="4" t="s">
        <v>29</v>
      </c>
      <c r="E216" s="4"/>
      <c r="F216" s="4"/>
      <c r="G216" s="4"/>
      <c r="H216" s="12" t="s">
        <v>133</v>
      </c>
      <c r="I216" s="10" t="s">
        <v>34</v>
      </c>
      <c r="J216" s="16" t="s">
        <v>2861</v>
      </c>
      <c r="K216" s="8"/>
      <c r="L216" s="8"/>
      <c r="M216" s="176">
        <v>42767</v>
      </c>
      <c r="N216" s="176"/>
      <c r="O216" s="176">
        <v>43252</v>
      </c>
      <c r="P216" s="5">
        <v>36</v>
      </c>
      <c r="Q216" s="7" t="s">
        <v>365</v>
      </c>
      <c r="R216" s="80" t="s">
        <v>2862</v>
      </c>
      <c r="S216" s="30" t="s">
        <v>163</v>
      </c>
      <c r="T216" s="12" t="s">
        <v>54</v>
      </c>
      <c r="U216" s="167"/>
      <c r="V216" s="167"/>
      <c r="W216" s="5" t="s">
        <v>136</v>
      </c>
      <c r="X216" s="8" t="s">
        <v>219</v>
      </c>
      <c r="Y216" s="5" t="s">
        <v>457</v>
      </c>
      <c r="Z216" s="5"/>
      <c r="AA216" s="5"/>
      <c r="AB216" s="5"/>
      <c r="AC216" s="8" t="s">
        <v>1264</v>
      </c>
      <c r="AD216" s="141"/>
      <c r="AE216" s="5"/>
      <c r="AF216" s="1357"/>
      <c r="AG216" s="1357"/>
      <c r="AH216" s="1357"/>
      <c r="AI216" s="1357"/>
      <c r="AJ216" s="1357"/>
      <c r="AK216" s="1357"/>
      <c r="AL216" s="1357"/>
      <c r="AM216" s="1357"/>
      <c r="AN216" s="1357"/>
      <c r="AO216" s="1357"/>
      <c r="AP216" s="1357"/>
      <c r="AQ216" s="1357"/>
      <c r="AR216" s="1357"/>
      <c r="AS216" s="1357"/>
      <c r="AT216" s="1357"/>
      <c r="AU216" s="1357"/>
      <c r="AV216" s="1357"/>
      <c r="AW216" s="1357"/>
      <c r="AX216" s="1357"/>
      <c r="AY216" s="1357"/>
    </row>
    <row r="217" spans="1:51" s="282" customFormat="1" ht="72">
      <c r="A217" s="886"/>
      <c r="B217" s="1" t="s">
        <v>28</v>
      </c>
      <c r="C217" s="4"/>
      <c r="D217" s="112" t="s">
        <v>29</v>
      </c>
      <c r="E217" s="112"/>
      <c r="F217" s="112"/>
      <c r="G217" s="112"/>
      <c r="H217" s="5" t="s">
        <v>70</v>
      </c>
      <c r="I217" s="12" t="s">
        <v>34</v>
      </c>
      <c r="J217" s="16" t="s">
        <v>2863</v>
      </c>
      <c r="K217" s="16"/>
      <c r="L217" s="16"/>
      <c r="M217" s="176">
        <v>42856</v>
      </c>
      <c r="N217" s="176"/>
      <c r="O217" s="176">
        <v>43252</v>
      </c>
      <c r="P217" s="12">
        <v>12</v>
      </c>
      <c r="Q217" s="13" t="s">
        <v>108</v>
      </c>
      <c r="R217" s="18">
        <v>2500</v>
      </c>
      <c r="S217" s="30" t="s">
        <v>2615</v>
      </c>
      <c r="T217" s="12" t="s">
        <v>54</v>
      </c>
      <c r="U217" s="4"/>
      <c r="V217" s="4"/>
      <c r="W217" s="12" t="s">
        <v>2622</v>
      </c>
      <c r="X217" s="5" t="s">
        <v>2689</v>
      </c>
      <c r="Y217" s="5" t="s">
        <v>457</v>
      </c>
      <c r="Z217" s="5"/>
      <c r="AA217" s="5"/>
      <c r="AB217" s="193">
        <v>43305</v>
      </c>
      <c r="AC217" s="8" t="s">
        <v>2864</v>
      </c>
      <c r="AD217" s="141"/>
      <c r="AE217" s="17"/>
      <c r="AF217" s="1360"/>
      <c r="AG217" s="1360"/>
      <c r="AH217" s="1360"/>
      <c r="AI217" s="1360"/>
      <c r="AJ217" s="1360"/>
      <c r="AK217" s="1360"/>
      <c r="AL217" s="1360"/>
      <c r="AM217" s="1360"/>
      <c r="AN217" s="1360"/>
      <c r="AO217" s="1360"/>
      <c r="AP217" s="1360"/>
      <c r="AQ217" s="1360"/>
      <c r="AR217" s="1360"/>
      <c r="AS217" s="1360"/>
      <c r="AT217" s="1360"/>
      <c r="AU217" s="1360"/>
      <c r="AV217" s="1360"/>
      <c r="AW217" s="1360"/>
      <c r="AX217" s="1360"/>
      <c r="AY217" s="1360"/>
    </row>
    <row r="218" spans="1:51" s="281" customFormat="1" ht="29.1" customHeight="1">
      <c r="A218" s="454"/>
      <c r="B218" s="1" t="s">
        <v>28</v>
      </c>
      <c r="C218" s="4"/>
      <c r="D218" s="112" t="s">
        <v>29</v>
      </c>
      <c r="E218" s="112"/>
      <c r="F218" s="112"/>
      <c r="G218" s="112"/>
      <c r="H218" s="5" t="s">
        <v>876</v>
      </c>
      <c r="I218" s="5" t="s">
        <v>64</v>
      </c>
      <c r="J218" s="16" t="s">
        <v>2865</v>
      </c>
      <c r="K218" s="8"/>
      <c r="L218" s="8"/>
      <c r="M218" s="193">
        <v>42917</v>
      </c>
      <c r="N218" s="193"/>
      <c r="O218" s="193">
        <v>43252</v>
      </c>
      <c r="P218" s="5">
        <v>48</v>
      </c>
      <c r="Q218" s="25" t="s">
        <v>2866</v>
      </c>
      <c r="R218" s="18">
        <v>600000</v>
      </c>
      <c r="S218" s="30" t="s">
        <v>158</v>
      </c>
      <c r="T218" s="11" t="s">
        <v>54</v>
      </c>
      <c r="U218" s="4"/>
      <c r="V218" s="4"/>
      <c r="W218" s="5" t="s">
        <v>878</v>
      </c>
      <c r="X218" s="5" t="s">
        <v>150</v>
      </c>
      <c r="Y218" s="5" t="s">
        <v>457</v>
      </c>
      <c r="Z218" s="5"/>
      <c r="AA218" s="5"/>
      <c r="AB218" s="7"/>
      <c r="AC218" s="8" t="s">
        <v>2867</v>
      </c>
      <c r="AD218" s="141"/>
      <c r="AE218" s="79"/>
      <c r="AF218" s="1"/>
      <c r="AG218" s="1357"/>
      <c r="AH218" s="1357"/>
      <c r="AI218" s="1357"/>
      <c r="AJ218" s="1357"/>
      <c r="AK218" s="1357"/>
      <c r="AL218" s="1357"/>
      <c r="AM218" s="1357"/>
      <c r="AN218" s="1357"/>
      <c r="AO218" s="1357"/>
      <c r="AP218" s="1357"/>
      <c r="AQ218" s="1357"/>
      <c r="AR218" s="1357"/>
      <c r="AS218" s="1357"/>
      <c r="AT218" s="1357"/>
      <c r="AU218" s="1357"/>
      <c r="AV218" s="1357"/>
      <c r="AW218" s="1357"/>
      <c r="AX218" s="1357"/>
      <c r="AY218" s="1357"/>
    </row>
    <row r="219" spans="1:51" s="281" customFormat="1" ht="57.6" customHeight="1">
      <c r="A219" s="896"/>
      <c r="B219" s="1" t="s">
        <v>28</v>
      </c>
      <c r="C219" s="4"/>
      <c r="D219" s="112" t="s">
        <v>29</v>
      </c>
      <c r="E219" s="112"/>
      <c r="F219" s="112"/>
      <c r="G219" s="112"/>
      <c r="H219" s="5" t="s">
        <v>311</v>
      </c>
      <c r="I219" s="5" t="s">
        <v>34</v>
      </c>
      <c r="J219" s="16" t="s">
        <v>736</v>
      </c>
      <c r="K219" s="8"/>
      <c r="L219" s="8"/>
      <c r="M219" s="199">
        <v>43009</v>
      </c>
      <c r="N219" s="193"/>
      <c r="O219" s="193">
        <v>43252</v>
      </c>
      <c r="P219" s="5">
        <v>48</v>
      </c>
      <c r="Q219" s="7" t="s">
        <v>191</v>
      </c>
      <c r="R219" s="18">
        <v>2649410</v>
      </c>
      <c r="S219" s="30" t="s">
        <v>2868</v>
      </c>
      <c r="T219" s="12" t="s">
        <v>54</v>
      </c>
      <c r="U219" s="4"/>
      <c r="V219" s="4"/>
      <c r="W219" s="5" t="s">
        <v>1291</v>
      </c>
      <c r="X219" s="5" t="s">
        <v>2638</v>
      </c>
      <c r="Y219" s="5" t="s">
        <v>457</v>
      </c>
      <c r="Z219" s="5"/>
      <c r="AA219" s="5"/>
      <c r="AB219" s="193">
        <v>43286</v>
      </c>
      <c r="AC219" s="8" t="s">
        <v>2869</v>
      </c>
      <c r="AD219" s="141"/>
      <c r="AE219" s="79">
        <v>529882</v>
      </c>
      <c r="AF219" s="1"/>
      <c r="AG219" s="1357"/>
      <c r="AH219" s="1357"/>
      <c r="AI219" s="1357"/>
      <c r="AJ219" s="1357"/>
      <c r="AK219" s="1357"/>
      <c r="AL219" s="1357"/>
      <c r="AM219" s="1357"/>
      <c r="AN219" s="1357"/>
      <c r="AO219" s="1357"/>
      <c r="AP219" s="1357"/>
      <c r="AQ219" s="1357"/>
      <c r="AR219" s="1357"/>
      <c r="AS219" s="1357"/>
      <c r="AT219" s="1357"/>
      <c r="AU219" s="1357"/>
      <c r="AV219" s="1357"/>
      <c r="AW219" s="1357"/>
      <c r="AX219" s="1357"/>
      <c r="AY219" s="1357"/>
    </row>
    <row r="220" spans="1:51" ht="28.8">
      <c r="A220" s="888"/>
      <c r="B220" s="1" t="s">
        <v>28</v>
      </c>
      <c r="C220" s="4"/>
      <c r="D220" s="112" t="s">
        <v>29</v>
      </c>
      <c r="E220" s="112"/>
      <c r="F220" s="112"/>
      <c r="G220" s="112"/>
      <c r="H220" s="5" t="s">
        <v>70</v>
      </c>
      <c r="I220" s="5" t="s">
        <v>34</v>
      </c>
      <c r="J220" s="16" t="s">
        <v>1123</v>
      </c>
      <c r="K220" s="8"/>
      <c r="L220" s="8"/>
      <c r="M220" s="193">
        <v>43133</v>
      </c>
      <c r="N220" s="193"/>
      <c r="O220" s="193">
        <v>43252</v>
      </c>
      <c r="P220" s="12">
        <v>24</v>
      </c>
      <c r="Q220" s="193" t="s">
        <v>366</v>
      </c>
      <c r="R220" s="18">
        <v>21792</v>
      </c>
      <c r="S220" s="30" t="s">
        <v>1412</v>
      </c>
      <c r="T220" s="11" t="s">
        <v>54</v>
      </c>
      <c r="U220" s="4"/>
      <c r="V220" s="4"/>
      <c r="W220" s="5" t="s">
        <v>2616</v>
      </c>
      <c r="X220" s="5" t="s">
        <v>1097</v>
      </c>
      <c r="Y220" s="5" t="s">
        <v>457</v>
      </c>
      <c r="Z220" s="5"/>
      <c r="AA220" s="5"/>
      <c r="AB220" s="1335"/>
      <c r="AC220" s="16" t="s">
        <v>2870</v>
      </c>
      <c r="AD220" s="141"/>
      <c r="AE220" s="79">
        <f>21792/2</f>
        <v>10896</v>
      </c>
      <c r="AF220" s="1357"/>
    </row>
    <row r="221" spans="1:51" s="281" customFormat="1" ht="28.8">
      <c r="A221" s="888"/>
      <c r="B221" s="1" t="s">
        <v>28</v>
      </c>
      <c r="C221" s="4"/>
      <c r="D221" s="112" t="s">
        <v>29</v>
      </c>
      <c r="E221" s="112"/>
      <c r="F221" s="112"/>
      <c r="G221" s="112"/>
      <c r="H221" s="5" t="s">
        <v>81</v>
      </c>
      <c r="I221" s="5" t="s">
        <v>34</v>
      </c>
      <c r="J221" s="16" t="s">
        <v>2871</v>
      </c>
      <c r="K221" s="8"/>
      <c r="L221" s="8"/>
      <c r="M221" s="193">
        <v>43221</v>
      </c>
      <c r="N221" s="193"/>
      <c r="O221" s="193">
        <v>43252</v>
      </c>
      <c r="P221" s="5">
        <v>24</v>
      </c>
      <c r="Q221" s="7" t="s">
        <v>366</v>
      </c>
      <c r="R221" s="18">
        <v>7823</v>
      </c>
      <c r="S221" s="200" t="s">
        <v>1412</v>
      </c>
      <c r="T221" s="11" t="s">
        <v>54</v>
      </c>
      <c r="U221" s="4"/>
      <c r="V221" s="4"/>
      <c r="W221" s="5" t="s">
        <v>931</v>
      </c>
      <c r="X221" s="5" t="s">
        <v>2638</v>
      </c>
      <c r="Y221" s="5" t="s">
        <v>457</v>
      </c>
      <c r="Z221" s="5"/>
      <c r="AA221" s="5"/>
      <c r="AB221" s="7" t="s">
        <v>2872</v>
      </c>
      <c r="AC221" s="35" t="s">
        <v>2873</v>
      </c>
      <c r="AD221" s="141"/>
      <c r="AE221" s="79">
        <v>8000</v>
      </c>
      <c r="AF221" s="1357"/>
      <c r="AG221" s="1357"/>
      <c r="AH221" s="1357"/>
      <c r="AI221" s="1357"/>
      <c r="AJ221" s="1357"/>
      <c r="AK221" s="1357"/>
      <c r="AL221" s="1357"/>
      <c r="AM221" s="1357"/>
      <c r="AN221" s="1357"/>
      <c r="AO221" s="1357"/>
      <c r="AP221" s="1357"/>
      <c r="AQ221" s="1357"/>
      <c r="AR221" s="1357"/>
      <c r="AS221" s="1357"/>
      <c r="AT221" s="1357"/>
      <c r="AU221" s="1357"/>
      <c r="AV221" s="1357"/>
      <c r="AW221" s="1357"/>
      <c r="AX221" s="1357"/>
      <c r="AY221" s="1357"/>
    </row>
    <row r="222" spans="1:51" s="282" customFormat="1" ht="28.8">
      <c r="A222" s="888"/>
      <c r="B222" s="1" t="s">
        <v>28</v>
      </c>
      <c r="C222" s="4"/>
      <c r="D222" s="112" t="s">
        <v>29</v>
      </c>
      <c r="E222" s="112"/>
      <c r="F222" s="112"/>
      <c r="G222" s="112"/>
      <c r="H222" s="5" t="s">
        <v>81</v>
      </c>
      <c r="I222" s="5" t="s">
        <v>34</v>
      </c>
      <c r="J222" s="16" t="s">
        <v>2871</v>
      </c>
      <c r="K222" s="8"/>
      <c r="L222" s="8"/>
      <c r="M222" s="193">
        <v>43221</v>
      </c>
      <c r="N222" s="193"/>
      <c r="O222" s="193">
        <v>43252</v>
      </c>
      <c r="P222" s="5">
        <v>24</v>
      </c>
      <c r="Q222" s="25" t="s">
        <v>366</v>
      </c>
      <c r="R222" s="18">
        <v>7823</v>
      </c>
      <c r="S222" s="200" t="s">
        <v>1412</v>
      </c>
      <c r="T222" s="11" t="s">
        <v>54</v>
      </c>
      <c r="U222" s="4"/>
      <c r="V222" s="4"/>
      <c r="W222" s="5" t="s">
        <v>931</v>
      </c>
      <c r="X222" s="5" t="s">
        <v>2638</v>
      </c>
      <c r="Y222" s="5" t="s">
        <v>457</v>
      </c>
      <c r="Z222" s="5"/>
      <c r="AA222" s="5"/>
      <c r="AB222" s="7" t="s">
        <v>2872</v>
      </c>
      <c r="AC222" s="35" t="s">
        <v>2873</v>
      </c>
      <c r="AD222" s="141"/>
      <c r="AE222" s="79">
        <v>8000</v>
      </c>
      <c r="AF222" s="1357"/>
      <c r="AG222" s="1360"/>
      <c r="AH222" s="1360"/>
      <c r="AI222" s="1360"/>
      <c r="AJ222" s="1360"/>
      <c r="AK222" s="1360"/>
      <c r="AL222" s="1360"/>
      <c r="AM222" s="1360"/>
      <c r="AN222" s="1360"/>
      <c r="AO222" s="1360"/>
      <c r="AP222" s="1360"/>
      <c r="AQ222" s="1360"/>
      <c r="AR222" s="1360"/>
      <c r="AS222" s="1360"/>
      <c r="AT222" s="1360"/>
      <c r="AU222" s="1360"/>
      <c r="AV222" s="1360"/>
      <c r="AW222" s="1360"/>
      <c r="AX222" s="1360"/>
      <c r="AY222" s="1360"/>
    </row>
    <row r="223" spans="1:51" s="233" customFormat="1" ht="67.5" customHeight="1">
      <c r="A223" s="852"/>
      <c r="B223" s="712" t="s">
        <v>48</v>
      </c>
      <c r="C223" s="520" t="s">
        <v>1533</v>
      </c>
      <c r="D223" s="727" t="s">
        <v>60</v>
      </c>
      <c r="E223" s="727"/>
      <c r="F223" s="727"/>
      <c r="G223" s="727"/>
      <c r="H223" s="521" t="s">
        <v>127</v>
      </c>
      <c r="I223" s="522" t="s">
        <v>34</v>
      </c>
      <c r="J223" s="1023" t="s">
        <v>1534</v>
      </c>
      <c r="K223" s="522"/>
      <c r="L223" s="523">
        <v>43187</v>
      </c>
      <c r="M223" s="523"/>
      <c r="N223" s="523"/>
      <c r="O223" s="523">
        <v>43252</v>
      </c>
      <c r="P223" s="524">
        <v>1</v>
      </c>
      <c r="Q223" s="769">
        <v>1</v>
      </c>
      <c r="R223" s="776">
        <v>456000</v>
      </c>
      <c r="S223" s="790" t="s">
        <v>1372</v>
      </c>
      <c r="T223" s="527" t="s">
        <v>54</v>
      </c>
      <c r="U223" s="527"/>
      <c r="V223" s="527"/>
      <c r="W223" s="521" t="s">
        <v>1535</v>
      </c>
      <c r="X223" s="114"/>
      <c r="Y223" s="114"/>
      <c r="Z223" s="114"/>
      <c r="AA223" s="114"/>
      <c r="AB223" s="114"/>
      <c r="AC223" s="114"/>
      <c r="AD223" s="303"/>
      <c r="AE223" s="114"/>
      <c r="AF223" s="1357"/>
      <c r="AG223" s="1001"/>
      <c r="AH223" s="1001"/>
      <c r="AI223" s="1001"/>
      <c r="AJ223" s="1001"/>
      <c r="AK223" s="1001"/>
      <c r="AL223" s="1001"/>
      <c r="AM223" s="1001"/>
      <c r="AN223" s="1001"/>
      <c r="AO223" s="1001"/>
      <c r="AP223" s="1001"/>
      <c r="AQ223" s="1001"/>
      <c r="AR223" s="1001"/>
      <c r="AS223" s="1001"/>
      <c r="AT223" s="1001"/>
      <c r="AU223" s="1001"/>
      <c r="AV223" s="1001"/>
      <c r="AW223" s="1001"/>
      <c r="AX223" s="1001"/>
      <c r="AY223" s="1001"/>
    </row>
    <row r="224" spans="1:51" s="282" customFormat="1" ht="65.25" customHeight="1">
      <c r="A224" s="852"/>
      <c r="B224" s="1" t="s">
        <v>28</v>
      </c>
      <c r="C224" s="4"/>
      <c r="D224" s="112" t="s">
        <v>29</v>
      </c>
      <c r="E224" s="112"/>
      <c r="F224" s="112"/>
      <c r="G224" s="112"/>
      <c r="H224" s="5" t="s">
        <v>119</v>
      </c>
      <c r="I224" s="5" t="s">
        <v>34</v>
      </c>
      <c r="J224" s="16" t="s">
        <v>970</v>
      </c>
      <c r="K224" s="8"/>
      <c r="L224" s="8"/>
      <c r="M224" s="193">
        <v>43046</v>
      </c>
      <c r="N224" s="193"/>
      <c r="O224" s="193">
        <v>43257</v>
      </c>
      <c r="P224" s="5">
        <v>12</v>
      </c>
      <c r="Q224" s="25" t="s">
        <v>108</v>
      </c>
      <c r="R224" s="18">
        <v>4688.33</v>
      </c>
      <c r="S224" s="30" t="s">
        <v>2615</v>
      </c>
      <c r="T224" s="11" t="s">
        <v>54</v>
      </c>
      <c r="U224" s="4"/>
      <c r="V224" s="4"/>
      <c r="W224" s="5" t="s">
        <v>971</v>
      </c>
      <c r="X224" s="5" t="s">
        <v>2788</v>
      </c>
      <c r="Y224" s="5" t="s">
        <v>457</v>
      </c>
      <c r="Z224" s="5"/>
      <c r="AA224" s="5"/>
      <c r="AB224" s="193">
        <v>43304</v>
      </c>
      <c r="AC224" s="8" t="s">
        <v>2874</v>
      </c>
      <c r="AD224" s="141"/>
      <c r="AE224" s="867"/>
      <c r="AF224" s="1357"/>
      <c r="AG224" s="1360"/>
      <c r="AH224" s="1360"/>
      <c r="AI224" s="1360"/>
      <c r="AJ224" s="1360"/>
      <c r="AK224" s="1360"/>
      <c r="AL224" s="1360"/>
      <c r="AM224" s="1360"/>
      <c r="AN224" s="1360"/>
      <c r="AO224" s="1360"/>
      <c r="AP224" s="1360"/>
      <c r="AQ224" s="1360"/>
      <c r="AR224" s="1360"/>
      <c r="AS224" s="1360"/>
      <c r="AT224" s="1360"/>
      <c r="AU224" s="1360"/>
      <c r="AV224" s="1360"/>
      <c r="AW224" s="1360"/>
      <c r="AX224" s="1360"/>
      <c r="AY224" s="1360"/>
    </row>
    <row r="225" spans="1:51" s="282" customFormat="1" ht="54.6" customHeight="1">
      <c r="A225" s="888"/>
      <c r="B225" s="1" t="s">
        <v>28</v>
      </c>
      <c r="C225" s="4"/>
      <c r="D225" s="112" t="s">
        <v>29</v>
      </c>
      <c r="E225" s="112"/>
      <c r="F225" s="112"/>
      <c r="G225" s="112"/>
      <c r="H225" s="5" t="s">
        <v>70</v>
      </c>
      <c r="I225" s="12" t="s">
        <v>34</v>
      </c>
      <c r="J225" s="16" t="s">
        <v>2875</v>
      </c>
      <c r="K225" s="16"/>
      <c r="L225" s="16"/>
      <c r="M225" s="176">
        <v>43244</v>
      </c>
      <c r="N225" s="176"/>
      <c r="O225" s="176">
        <v>43259</v>
      </c>
      <c r="P225" s="13" t="s">
        <v>108</v>
      </c>
      <c r="Q225" s="28" t="s">
        <v>108</v>
      </c>
      <c r="R225" s="191">
        <v>19237.5</v>
      </c>
      <c r="S225" s="30" t="s">
        <v>1412</v>
      </c>
      <c r="T225" s="12" t="s">
        <v>54</v>
      </c>
      <c r="U225" s="4"/>
      <c r="V225" s="4"/>
      <c r="W225" s="5" t="s">
        <v>2876</v>
      </c>
      <c r="X225" s="5" t="s">
        <v>1091</v>
      </c>
      <c r="Y225" s="5" t="s">
        <v>457</v>
      </c>
      <c r="Z225" s="5"/>
      <c r="AA225" s="12"/>
      <c r="AB225" s="193">
        <v>43287</v>
      </c>
      <c r="AC225" s="35" t="s">
        <v>2877</v>
      </c>
      <c r="AD225" s="141"/>
      <c r="AE225" s="17">
        <v>19237.5</v>
      </c>
      <c r="AF225" s="1357"/>
      <c r="AG225" s="1360"/>
      <c r="AH225" s="1360"/>
      <c r="AI225" s="1360"/>
      <c r="AJ225" s="1360"/>
      <c r="AK225" s="1360"/>
      <c r="AL225" s="1360"/>
      <c r="AM225" s="1360"/>
      <c r="AN225" s="1360"/>
      <c r="AO225" s="1360"/>
      <c r="AP225" s="1360"/>
      <c r="AQ225" s="1360"/>
      <c r="AR225" s="1360"/>
      <c r="AS225" s="1360"/>
      <c r="AT225" s="1360"/>
      <c r="AU225" s="1360"/>
      <c r="AV225" s="1360"/>
      <c r="AW225" s="1360"/>
      <c r="AX225" s="1360"/>
      <c r="AY225" s="1360"/>
    </row>
    <row r="226" spans="1:51" s="282" customFormat="1" ht="79.5" customHeight="1">
      <c r="A226" s="1364"/>
      <c r="B226" s="1" t="s">
        <v>28</v>
      </c>
      <c r="C226" s="4"/>
      <c r="D226" s="112" t="s">
        <v>29</v>
      </c>
      <c r="E226" s="112"/>
      <c r="F226" s="112"/>
      <c r="G226" s="112"/>
      <c r="H226" s="5" t="s">
        <v>70</v>
      </c>
      <c r="I226" s="12" t="s">
        <v>34</v>
      </c>
      <c r="J226" s="16" t="s">
        <v>2875</v>
      </c>
      <c r="K226" s="16"/>
      <c r="L226" s="16"/>
      <c r="M226" s="176">
        <v>43244</v>
      </c>
      <c r="N226" s="176"/>
      <c r="O226" s="176">
        <v>43259</v>
      </c>
      <c r="P226" s="13" t="s">
        <v>108</v>
      </c>
      <c r="Q226" s="28" t="s">
        <v>108</v>
      </c>
      <c r="R226" s="191">
        <v>19237.5</v>
      </c>
      <c r="S226" s="30" t="s">
        <v>1412</v>
      </c>
      <c r="T226" s="12" t="s">
        <v>54</v>
      </c>
      <c r="U226" s="4"/>
      <c r="V226" s="4"/>
      <c r="W226" s="5" t="s">
        <v>2876</v>
      </c>
      <c r="X226" s="5" t="s">
        <v>1091</v>
      </c>
      <c r="Y226" s="5" t="s">
        <v>457</v>
      </c>
      <c r="Z226" s="5"/>
      <c r="AA226" s="12"/>
      <c r="AB226" s="193">
        <v>43287</v>
      </c>
      <c r="AC226" s="35" t="s">
        <v>2877</v>
      </c>
      <c r="AD226" s="141"/>
      <c r="AE226" s="17">
        <v>19237.5</v>
      </c>
      <c r="AF226" s="1360"/>
      <c r="AG226" s="1360"/>
      <c r="AH226" s="1360"/>
      <c r="AI226" s="1360"/>
      <c r="AJ226" s="1360"/>
      <c r="AK226" s="1360"/>
      <c r="AL226" s="1360"/>
      <c r="AM226" s="1360"/>
      <c r="AN226" s="1360"/>
      <c r="AO226" s="1360"/>
      <c r="AP226" s="1360"/>
      <c r="AQ226" s="1360"/>
      <c r="AR226" s="1360"/>
      <c r="AS226" s="1360"/>
      <c r="AT226" s="1360"/>
      <c r="AU226" s="1360"/>
      <c r="AV226" s="1360"/>
      <c r="AW226" s="1360"/>
      <c r="AX226" s="1360"/>
      <c r="AY226" s="1360"/>
    </row>
    <row r="227" spans="1:51" s="282" customFormat="1" ht="110.4">
      <c r="A227" s="852"/>
      <c r="B227" s="712" t="s">
        <v>48</v>
      </c>
      <c r="C227" s="520" t="s">
        <v>1490</v>
      </c>
      <c r="D227" s="727" t="s">
        <v>60</v>
      </c>
      <c r="E227" s="727"/>
      <c r="F227" s="727"/>
      <c r="G227" s="727"/>
      <c r="H227" s="521" t="s">
        <v>127</v>
      </c>
      <c r="I227" s="522" t="s">
        <v>34</v>
      </c>
      <c r="J227" s="1023" t="s">
        <v>1491</v>
      </c>
      <c r="K227" s="522"/>
      <c r="L227" s="523">
        <v>43150</v>
      </c>
      <c r="M227" s="523"/>
      <c r="N227" s="523"/>
      <c r="O227" s="523">
        <v>43262</v>
      </c>
      <c r="P227" s="524">
        <v>4</v>
      </c>
      <c r="Q227" s="769">
        <v>4</v>
      </c>
      <c r="R227" s="776">
        <v>450000</v>
      </c>
      <c r="S227" s="790" t="s">
        <v>1372</v>
      </c>
      <c r="T227" s="527" t="s">
        <v>54</v>
      </c>
      <c r="U227" s="527"/>
      <c r="V227" s="527"/>
      <c r="W227" s="528"/>
      <c r="X227" s="114"/>
      <c r="Y227" s="114"/>
      <c r="Z227" s="114"/>
      <c r="AA227" s="114"/>
      <c r="AB227" s="114"/>
      <c r="AC227" s="114"/>
      <c r="AD227" s="303"/>
      <c r="AE227"/>
      <c r="AF227" s="1"/>
      <c r="AG227" s="1360"/>
      <c r="AH227" s="1360"/>
      <c r="AI227" s="1360"/>
      <c r="AJ227" s="1360"/>
      <c r="AK227" s="1360"/>
      <c r="AL227" s="1360"/>
      <c r="AM227" s="1360"/>
      <c r="AN227" s="1360"/>
      <c r="AO227" s="1360"/>
      <c r="AP227" s="1360"/>
      <c r="AQ227" s="1360"/>
      <c r="AR227" s="1360"/>
      <c r="AS227" s="1360"/>
      <c r="AT227" s="1360"/>
      <c r="AU227" s="1360"/>
      <c r="AV227" s="1360"/>
      <c r="AW227" s="1360"/>
      <c r="AX227" s="1360"/>
      <c r="AY227" s="1360"/>
    </row>
    <row r="228" spans="1:51" s="282" customFormat="1" ht="15.6">
      <c r="A228" s="1061">
        <v>44974</v>
      </c>
      <c r="B228" s="1068" t="s">
        <v>210</v>
      </c>
      <c r="C228" s="1072">
        <v>33839</v>
      </c>
      <c r="D228" s="1021" t="s">
        <v>355</v>
      </c>
      <c r="E228" s="1020" t="s">
        <v>210</v>
      </c>
      <c r="F228" s="1020" t="s">
        <v>190</v>
      </c>
      <c r="G228" s="1020" t="s">
        <v>190</v>
      </c>
      <c r="H228" s="1066" t="s">
        <v>190</v>
      </c>
      <c r="I228" s="1066" t="s">
        <v>190</v>
      </c>
      <c r="J228" s="1095" t="s">
        <v>1063</v>
      </c>
      <c r="K228" s="1072" t="s">
        <v>1064</v>
      </c>
      <c r="L228" s="1066" t="s">
        <v>190</v>
      </c>
      <c r="M228" s="1066" t="s">
        <v>190</v>
      </c>
      <c r="N228" s="1066" t="s">
        <v>190</v>
      </c>
      <c r="O228" s="1142">
        <v>43262</v>
      </c>
      <c r="P228" s="1142">
        <v>45199</v>
      </c>
      <c r="Q228" s="1075" t="s">
        <v>43</v>
      </c>
      <c r="R228" s="1193">
        <v>25000</v>
      </c>
      <c r="S228" s="1021" t="s">
        <v>2878</v>
      </c>
      <c r="T228" s="1066" t="s">
        <v>190</v>
      </c>
      <c r="U228" s="1066" t="s">
        <v>190</v>
      </c>
      <c r="V228" s="1066"/>
      <c r="W228" s="1072" t="s">
        <v>1065</v>
      </c>
      <c r="X228" s="1072" t="s">
        <v>1346</v>
      </c>
      <c r="Y228" s="1072" t="s">
        <v>1266</v>
      </c>
      <c r="Z228" s="1066" t="s">
        <v>190</v>
      </c>
      <c r="AA228" s="1066" t="s">
        <v>190</v>
      </c>
      <c r="AB228" s="1066" t="s">
        <v>190</v>
      </c>
      <c r="AC228" s="1095" t="s">
        <v>1066</v>
      </c>
      <c r="AD228" s="1020" t="s">
        <v>190</v>
      </c>
      <c r="AE228" s="1176">
        <v>25000</v>
      </c>
      <c r="AF228"/>
      <c r="AG228" s="1360"/>
      <c r="AH228" s="1360"/>
      <c r="AI228" s="1360"/>
      <c r="AJ228" s="1360"/>
      <c r="AK228" s="1360"/>
      <c r="AL228" s="1360"/>
      <c r="AM228" s="1360"/>
      <c r="AN228" s="1360"/>
      <c r="AO228" s="1360"/>
      <c r="AP228" s="1360"/>
      <c r="AQ228" s="1360"/>
      <c r="AR228" s="1360"/>
      <c r="AS228" s="1360"/>
      <c r="AT228" s="1360"/>
      <c r="AU228" s="1360"/>
      <c r="AV228" s="1360"/>
      <c r="AW228" s="1360"/>
      <c r="AX228" s="1360"/>
      <c r="AY228" s="1360"/>
    </row>
    <row r="229" spans="1:51" s="282" customFormat="1" ht="57.6" customHeight="1">
      <c r="A229" s="889"/>
      <c r="B229" s="1" t="s">
        <v>28</v>
      </c>
      <c r="C229" s="4"/>
      <c r="D229" s="112" t="s">
        <v>29</v>
      </c>
      <c r="E229" s="112"/>
      <c r="F229" s="112"/>
      <c r="G229" s="112"/>
      <c r="H229" s="5" t="s">
        <v>165</v>
      </c>
      <c r="I229" s="5" t="s">
        <v>34</v>
      </c>
      <c r="J229" s="16" t="s">
        <v>166</v>
      </c>
      <c r="K229" s="8"/>
      <c r="L229" s="8"/>
      <c r="M229" s="193">
        <v>43101</v>
      </c>
      <c r="N229" s="193"/>
      <c r="O229" s="193">
        <v>43267</v>
      </c>
      <c r="P229" s="5">
        <v>48</v>
      </c>
      <c r="Q229" s="25" t="s">
        <v>167</v>
      </c>
      <c r="R229" s="18">
        <v>36000</v>
      </c>
      <c r="S229" s="200" t="s">
        <v>158</v>
      </c>
      <c r="T229" s="11" t="s">
        <v>54</v>
      </c>
      <c r="U229" s="4"/>
      <c r="V229" s="4"/>
      <c r="W229" s="5" t="s">
        <v>2879</v>
      </c>
      <c r="X229" s="5" t="s">
        <v>2788</v>
      </c>
      <c r="Y229" s="5" t="s">
        <v>457</v>
      </c>
      <c r="Z229" s="5"/>
      <c r="AA229" s="5"/>
      <c r="AB229" s="193">
        <v>43305</v>
      </c>
      <c r="AC229" s="8" t="s">
        <v>2880</v>
      </c>
      <c r="AD229" s="141"/>
      <c r="AE229" s="79"/>
      <c r="AF229" s="1357"/>
      <c r="AG229" s="1360"/>
      <c r="AH229" s="1360"/>
      <c r="AI229" s="1360"/>
      <c r="AJ229" s="1360"/>
      <c r="AK229" s="1360"/>
      <c r="AL229" s="1360"/>
      <c r="AM229" s="1360"/>
      <c r="AN229" s="1360"/>
      <c r="AO229" s="1360"/>
      <c r="AP229" s="1360"/>
      <c r="AQ229" s="1360"/>
      <c r="AR229" s="1360"/>
      <c r="AS229" s="1360"/>
      <c r="AT229" s="1360"/>
      <c r="AU229" s="1360"/>
      <c r="AV229" s="1360"/>
      <c r="AW229" s="1360"/>
      <c r="AX229" s="1360"/>
      <c r="AY229" s="1360"/>
    </row>
    <row r="230" spans="1:51" s="282" customFormat="1" ht="43.35" customHeight="1">
      <c r="A230" s="852"/>
      <c r="B230" s="712" t="s">
        <v>48</v>
      </c>
      <c r="C230" s="520" t="s">
        <v>1562</v>
      </c>
      <c r="D230" s="727" t="s">
        <v>29</v>
      </c>
      <c r="E230" s="727"/>
      <c r="F230" s="727"/>
      <c r="G230" s="727"/>
      <c r="H230" s="521" t="s">
        <v>49</v>
      </c>
      <c r="I230" s="522" t="s">
        <v>34</v>
      </c>
      <c r="J230" s="1023" t="s">
        <v>1563</v>
      </c>
      <c r="K230" s="522"/>
      <c r="L230" s="523">
        <v>43178</v>
      </c>
      <c r="M230" s="523"/>
      <c r="N230" s="523"/>
      <c r="O230" s="523">
        <v>43269</v>
      </c>
      <c r="P230" s="524">
        <v>6</v>
      </c>
      <c r="Q230" s="769">
        <v>6</v>
      </c>
      <c r="R230" s="525">
        <v>1683000</v>
      </c>
      <c r="S230" s="790" t="s">
        <v>1508</v>
      </c>
      <c r="T230" s="527" t="s">
        <v>54</v>
      </c>
      <c r="U230" s="527"/>
      <c r="V230" s="527"/>
      <c r="W230" s="521" t="s">
        <v>875</v>
      </c>
      <c r="X230" s="114"/>
      <c r="Y230" s="114"/>
      <c r="Z230" s="114"/>
      <c r="AA230" s="114"/>
      <c r="AB230" s="114"/>
      <c r="AC230" s="114"/>
      <c r="AD230" s="303"/>
      <c r="AE230" s="114"/>
      <c r="AF230" s="1360"/>
      <c r="AG230" s="1360"/>
      <c r="AH230" s="1360"/>
      <c r="AI230" s="1360"/>
      <c r="AJ230" s="1360"/>
      <c r="AK230" s="1360"/>
      <c r="AL230" s="1360"/>
      <c r="AM230" s="1360"/>
      <c r="AN230" s="1360"/>
      <c r="AO230" s="1360"/>
      <c r="AP230" s="1360"/>
      <c r="AQ230" s="1360"/>
      <c r="AR230" s="1360"/>
      <c r="AS230" s="1360"/>
      <c r="AT230" s="1360"/>
      <c r="AU230" s="1360"/>
      <c r="AV230" s="1360"/>
      <c r="AW230" s="1360"/>
      <c r="AX230" s="1360"/>
      <c r="AY230" s="1360"/>
    </row>
    <row r="231" spans="1:51" s="281" customFormat="1" ht="69">
      <c r="A231" s="852"/>
      <c r="B231" s="712" t="s">
        <v>48</v>
      </c>
      <c r="C231" s="520" t="s">
        <v>1625</v>
      </c>
      <c r="D231" s="727" t="s">
        <v>29</v>
      </c>
      <c r="E231" s="727"/>
      <c r="F231" s="727"/>
      <c r="G231" s="727"/>
      <c r="H231" s="521" t="s">
        <v>49</v>
      </c>
      <c r="I231" s="522" t="s">
        <v>34</v>
      </c>
      <c r="J231" s="1023" t="s">
        <v>1626</v>
      </c>
      <c r="K231" s="522"/>
      <c r="L231" s="523">
        <v>43157</v>
      </c>
      <c r="M231" s="523"/>
      <c r="N231" s="523"/>
      <c r="O231" s="523">
        <v>43269</v>
      </c>
      <c r="P231" s="524">
        <v>2</v>
      </c>
      <c r="Q231" s="769">
        <v>2</v>
      </c>
      <c r="R231" s="525">
        <v>365000</v>
      </c>
      <c r="S231" s="790" t="s">
        <v>1508</v>
      </c>
      <c r="T231" s="527" t="s">
        <v>54</v>
      </c>
      <c r="U231" s="527"/>
      <c r="V231" s="527"/>
      <c r="W231" s="528" t="s">
        <v>406</v>
      </c>
      <c r="X231" s="114"/>
      <c r="Y231" s="114"/>
      <c r="Z231" s="114"/>
      <c r="AA231" s="114"/>
      <c r="AB231" s="114"/>
      <c r="AC231" s="114"/>
      <c r="AD231" s="303"/>
      <c r="AE231" s="114"/>
      <c r="AF231" s="1357"/>
      <c r="AG231" s="1357"/>
      <c r="AH231" s="1357"/>
      <c r="AI231" s="1357"/>
      <c r="AJ231" s="1357"/>
      <c r="AK231" s="1357"/>
      <c r="AL231" s="1357"/>
      <c r="AM231" s="1357"/>
      <c r="AN231" s="1357"/>
      <c r="AO231" s="1357"/>
      <c r="AP231" s="1357"/>
      <c r="AQ231" s="1357"/>
      <c r="AR231" s="1357"/>
      <c r="AS231" s="1357"/>
      <c r="AT231" s="1357"/>
      <c r="AU231" s="1357"/>
      <c r="AV231" s="1357"/>
      <c r="AW231" s="1357"/>
      <c r="AX231" s="1357"/>
      <c r="AY231" s="1357"/>
    </row>
    <row r="232" spans="1:51" s="281" customFormat="1" ht="39.6">
      <c r="A232" s="852"/>
      <c r="B232" s="712" t="s">
        <v>48</v>
      </c>
      <c r="C232" s="465" t="s">
        <v>1625</v>
      </c>
      <c r="D232" s="554" t="s">
        <v>29</v>
      </c>
      <c r="E232" s="554"/>
      <c r="F232" s="554"/>
      <c r="G232" s="554"/>
      <c r="H232" s="466" t="s">
        <v>49</v>
      </c>
      <c r="I232" s="474" t="s">
        <v>34</v>
      </c>
      <c r="J232" s="1024" t="s">
        <v>1672</v>
      </c>
      <c r="K232" s="467"/>
      <c r="L232" s="540" t="s">
        <v>1266</v>
      </c>
      <c r="M232" s="540"/>
      <c r="N232" s="540"/>
      <c r="O232" s="540">
        <v>43269</v>
      </c>
      <c r="P232" s="471">
        <v>2</v>
      </c>
      <c r="Q232" s="471">
        <v>2</v>
      </c>
      <c r="R232" s="542">
        <v>365000</v>
      </c>
      <c r="S232" s="791" t="s">
        <v>1663</v>
      </c>
      <c r="T232" s="470" t="s">
        <v>54</v>
      </c>
      <c r="U232" s="470"/>
      <c r="V232" s="470"/>
      <c r="W232" s="474" t="s">
        <v>406</v>
      </c>
      <c r="X232" s="114"/>
      <c r="Y232" s="114"/>
      <c r="Z232" s="114"/>
      <c r="AA232" s="114"/>
      <c r="AB232" s="114"/>
      <c r="AC232" s="114"/>
      <c r="AD232" s="303"/>
      <c r="AE232" s="114"/>
      <c r="AF232" s="1357"/>
      <c r="AG232" s="1357"/>
      <c r="AH232" s="1357"/>
      <c r="AI232" s="1357"/>
      <c r="AJ232" s="1357"/>
      <c r="AK232" s="1357"/>
      <c r="AL232" s="1357"/>
      <c r="AM232" s="1357"/>
      <c r="AN232" s="1357"/>
      <c r="AO232" s="1357"/>
      <c r="AP232" s="1357"/>
      <c r="AQ232" s="1357"/>
      <c r="AR232" s="1357"/>
      <c r="AS232" s="1357"/>
      <c r="AT232" s="1357"/>
      <c r="AU232" s="1357"/>
      <c r="AV232" s="1357"/>
      <c r="AW232" s="1357"/>
      <c r="AX232" s="1357"/>
      <c r="AY232" s="1357"/>
    </row>
    <row r="233" spans="1:51" s="281" customFormat="1" ht="15.6">
      <c r="A233" s="1061">
        <v>44974</v>
      </c>
      <c r="B233" s="1068" t="s">
        <v>210</v>
      </c>
      <c r="C233" s="1072">
        <v>30182</v>
      </c>
      <c r="D233" s="1021" t="s">
        <v>1034</v>
      </c>
      <c r="E233" s="1020" t="s">
        <v>210</v>
      </c>
      <c r="F233" s="1020" t="s">
        <v>190</v>
      </c>
      <c r="G233" s="1020" t="s">
        <v>190</v>
      </c>
      <c r="H233" s="1066" t="s">
        <v>190</v>
      </c>
      <c r="I233" s="1066" t="s">
        <v>190</v>
      </c>
      <c r="J233" s="1095" t="s">
        <v>2881</v>
      </c>
      <c r="K233" s="1072" t="s">
        <v>1146</v>
      </c>
      <c r="L233" s="1066" t="s">
        <v>190</v>
      </c>
      <c r="M233" s="1066" t="s">
        <v>190</v>
      </c>
      <c r="N233" s="1066" t="s">
        <v>190</v>
      </c>
      <c r="O233" s="1142">
        <v>43269</v>
      </c>
      <c r="P233" s="1142">
        <v>45016</v>
      </c>
      <c r="Q233" s="1075" t="s">
        <v>1350</v>
      </c>
      <c r="R233" s="1176">
        <v>80000</v>
      </c>
      <c r="S233" s="1021" t="s">
        <v>237</v>
      </c>
      <c r="T233" s="1066" t="s">
        <v>190</v>
      </c>
      <c r="U233" s="1066" t="s">
        <v>190</v>
      </c>
      <c r="V233" s="1066"/>
      <c r="W233" s="1072" t="s">
        <v>1036</v>
      </c>
      <c r="X233" s="1072" t="s">
        <v>1346</v>
      </c>
      <c r="Y233" s="1072" t="s">
        <v>1266</v>
      </c>
      <c r="Z233" s="1066" t="s">
        <v>190</v>
      </c>
      <c r="AA233" s="1066" t="s">
        <v>190</v>
      </c>
      <c r="AB233" s="1066" t="s">
        <v>190</v>
      </c>
      <c r="AC233" s="1095" t="s">
        <v>2882</v>
      </c>
      <c r="AD233" s="1020" t="s">
        <v>190</v>
      </c>
      <c r="AE233" s="1176">
        <v>80000</v>
      </c>
      <c r="AF233"/>
      <c r="AG233" s="1357"/>
      <c r="AH233" s="1357"/>
      <c r="AI233" s="1357"/>
      <c r="AJ233" s="1357"/>
      <c r="AK233" s="1357"/>
      <c r="AL233" s="1357"/>
      <c r="AM233" s="1357"/>
      <c r="AN233" s="1357"/>
      <c r="AO233" s="1357"/>
      <c r="AP233" s="1357"/>
      <c r="AQ233" s="1357"/>
      <c r="AR233" s="1357"/>
      <c r="AS233" s="1357"/>
      <c r="AT233" s="1357"/>
      <c r="AU233" s="1357"/>
      <c r="AV233" s="1357"/>
      <c r="AW233" s="1357"/>
      <c r="AX233" s="1357"/>
      <c r="AY233" s="1357"/>
    </row>
    <row r="234" spans="1:51" s="281" customFormat="1" ht="43.2">
      <c r="A234" s="897"/>
      <c r="B234" s="1" t="s">
        <v>28</v>
      </c>
      <c r="C234" s="4"/>
      <c r="D234" s="112" t="s">
        <v>29</v>
      </c>
      <c r="E234" s="112"/>
      <c r="F234" s="112"/>
      <c r="G234" s="112"/>
      <c r="H234" s="5" t="s">
        <v>2695</v>
      </c>
      <c r="I234" s="12" t="s">
        <v>34</v>
      </c>
      <c r="J234" s="16" t="s">
        <v>2883</v>
      </c>
      <c r="K234" s="16"/>
      <c r="L234" s="16"/>
      <c r="M234" s="176">
        <v>42916</v>
      </c>
      <c r="N234" s="176"/>
      <c r="O234" s="176">
        <v>43273</v>
      </c>
      <c r="P234" s="12">
        <v>12</v>
      </c>
      <c r="Q234" s="7" t="s">
        <v>108</v>
      </c>
      <c r="R234" s="18">
        <v>7000</v>
      </c>
      <c r="S234" s="5" t="s">
        <v>2615</v>
      </c>
      <c r="T234" s="12" t="s">
        <v>54</v>
      </c>
      <c r="U234" s="4"/>
      <c r="V234" s="4"/>
      <c r="W234" s="12" t="s">
        <v>2884</v>
      </c>
      <c r="X234" s="5" t="s">
        <v>2689</v>
      </c>
      <c r="Y234" s="5" t="s">
        <v>457</v>
      </c>
      <c r="Z234" s="5"/>
      <c r="AA234" s="5"/>
      <c r="AB234" s="193">
        <v>43305</v>
      </c>
      <c r="AC234" s="8" t="s">
        <v>2885</v>
      </c>
      <c r="AD234" s="141"/>
      <c r="AE234" s="17"/>
      <c r="AF234" s="1357"/>
      <c r="AG234" s="1357"/>
      <c r="AH234" s="1357"/>
      <c r="AI234" s="1357"/>
      <c r="AJ234" s="1357"/>
      <c r="AK234" s="1357"/>
      <c r="AL234" s="1357"/>
      <c r="AM234" s="1357"/>
      <c r="AN234" s="1357"/>
      <c r="AO234" s="1357"/>
      <c r="AP234" s="1357"/>
      <c r="AQ234" s="1357"/>
      <c r="AR234" s="1357"/>
      <c r="AS234" s="1357"/>
      <c r="AT234" s="1357"/>
      <c r="AU234" s="1357"/>
      <c r="AV234" s="1357"/>
      <c r="AW234" s="1357"/>
      <c r="AX234" s="1357"/>
      <c r="AY234" s="1357"/>
    </row>
    <row r="235" spans="1:51" s="1" customFormat="1" ht="63" customHeight="1">
      <c r="A235" s="852"/>
      <c r="B235" s="712" t="s">
        <v>48</v>
      </c>
      <c r="C235" s="520" t="s">
        <v>1584</v>
      </c>
      <c r="D235" s="727" t="s">
        <v>29</v>
      </c>
      <c r="E235" s="727"/>
      <c r="F235" s="727"/>
      <c r="G235" s="727"/>
      <c r="H235" s="521" t="s">
        <v>49</v>
      </c>
      <c r="I235" s="522" t="s">
        <v>34</v>
      </c>
      <c r="J235" s="1023" t="s">
        <v>1585</v>
      </c>
      <c r="K235" s="522"/>
      <c r="L235" s="535">
        <v>43258</v>
      </c>
      <c r="M235" s="535"/>
      <c r="N235" s="535"/>
      <c r="O235" s="523">
        <v>43273</v>
      </c>
      <c r="P235" s="1162">
        <v>1</v>
      </c>
      <c r="Q235" s="524">
        <v>1</v>
      </c>
      <c r="R235" s="525">
        <v>50000</v>
      </c>
      <c r="S235" s="790" t="s">
        <v>1466</v>
      </c>
      <c r="T235" s="527" t="s">
        <v>54</v>
      </c>
      <c r="U235" s="527"/>
      <c r="V235" s="527"/>
      <c r="W235" s="528" t="s">
        <v>1586</v>
      </c>
      <c r="X235" s="114"/>
      <c r="Y235" s="114"/>
      <c r="Z235" s="114"/>
      <c r="AA235" s="114"/>
      <c r="AB235" s="114"/>
      <c r="AC235" s="114"/>
      <c r="AD235" s="303"/>
      <c r="AE235" s="114"/>
      <c r="AF235" s="1360"/>
    </row>
    <row r="236" spans="1:51" s="281" customFormat="1" ht="69">
      <c r="A236" s="852"/>
      <c r="B236" s="712" t="s">
        <v>48</v>
      </c>
      <c r="C236" s="520" t="s">
        <v>43</v>
      </c>
      <c r="D236" s="727" t="s">
        <v>29</v>
      </c>
      <c r="E236" s="727"/>
      <c r="F236" s="727"/>
      <c r="G236" s="727"/>
      <c r="H236" s="521" t="s">
        <v>49</v>
      </c>
      <c r="I236" s="522" t="s">
        <v>34</v>
      </c>
      <c r="J236" s="1023" t="s">
        <v>1517</v>
      </c>
      <c r="K236" s="522"/>
      <c r="L236" s="523">
        <v>43199</v>
      </c>
      <c r="M236" s="523"/>
      <c r="N236" s="523"/>
      <c r="O236" s="523">
        <v>43276</v>
      </c>
      <c r="P236" s="524">
        <v>3</v>
      </c>
      <c r="Q236" s="524">
        <v>3</v>
      </c>
      <c r="R236" s="525">
        <v>400000</v>
      </c>
      <c r="S236" s="790" t="s">
        <v>1508</v>
      </c>
      <c r="T236" s="527" t="s">
        <v>54</v>
      </c>
      <c r="U236" s="527"/>
      <c r="V236" s="527"/>
      <c r="W236" s="528" t="s">
        <v>406</v>
      </c>
      <c r="X236" s="114"/>
      <c r="Y236" s="114"/>
      <c r="Z236" s="114"/>
      <c r="AA236" s="114"/>
      <c r="AB236" s="114"/>
      <c r="AC236" s="114"/>
      <c r="AD236" s="303"/>
      <c r="AE236"/>
      <c r="AF236" s="1357"/>
      <c r="AG236" s="1357"/>
      <c r="AH236" s="1357"/>
      <c r="AI236" s="1357"/>
      <c r="AJ236" s="1357"/>
      <c r="AK236" s="1357"/>
      <c r="AL236" s="1357"/>
      <c r="AM236" s="1357"/>
      <c r="AN236" s="1357"/>
      <c r="AO236" s="1357"/>
      <c r="AP236" s="1357"/>
      <c r="AQ236" s="1357"/>
      <c r="AR236" s="1357"/>
      <c r="AS236" s="1357"/>
      <c r="AT236" s="1357"/>
      <c r="AU236" s="1357"/>
      <c r="AV236" s="1357"/>
      <c r="AW236" s="1357"/>
      <c r="AX236" s="1357"/>
      <c r="AY236" s="1357"/>
    </row>
    <row r="237" spans="1:51" s="282" customFormat="1" ht="68.25" customHeight="1">
      <c r="A237" s="454"/>
      <c r="B237" s="1" t="s">
        <v>28</v>
      </c>
      <c r="C237" s="4"/>
      <c r="D237" s="112" t="s">
        <v>29</v>
      </c>
      <c r="E237" s="112"/>
      <c r="F237" s="112"/>
      <c r="G237" s="112"/>
      <c r="H237" s="5" t="s">
        <v>81</v>
      </c>
      <c r="I237" s="5" t="s">
        <v>34</v>
      </c>
      <c r="J237" s="16" t="s">
        <v>985</v>
      </c>
      <c r="K237" s="8"/>
      <c r="L237" s="8"/>
      <c r="M237" s="193">
        <v>42917</v>
      </c>
      <c r="N237" s="193"/>
      <c r="O237" s="193">
        <v>43282</v>
      </c>
      <c r="P237" s="5">
        <v>72</v>
      </c>
      <c r="Q237" s="26" t="s">
        <v>1301</v>
      </c>
      <c r="R237" s="18">
        <v>18000</v>
      </c>
      <c r="S237" s="5" t="s">
        <v>163</v>
      </c>
      <c r="T237" s="11" t="s">
        <v>54</v>
      </c>
      <c r="U237" s="4"/>
      <c r="V237" s="4"/>
      <c r="W237" s="5" t="s">
        <v>2886</v>
      </c>
      <c r="X237" s="5" t="s">
        <v>2788</v>
      </c>
      <c r="Y237" s="5" t="s">
        <v>457</v>
      </c>
      <c r="Z237" s="5"/>
      <c r="AA237" s="26"/>
      <c r="AB237" s="1386">
        <v>43300</v>
      </c>
      <c r="AC237" s="8" t="s">
        <v>2887</v>
      </c>
      <c r="AD237" s="141"/>
      <c r="AE237" s="79"/>
      <c r="AF237" s="1357"/>
      <c r="AG237" s="1360"/>
      <c r="AH237" s="1360"/>
      <c r="AI237" s="1360"/>
      <c r="AJ237" s="1360"/>
      <c r="AK237" s="1360"/>
      <c r="AL237" s="1360"/>
      <c r="AM237" s="1360"/>
      <c r="AN237" s="1360"/>
      <c r="AO237" s="1360"/>
      <c r="AP237" s="1360"/>
      <c r="AQ237" s="1360"/>
      <c r="AR237" s="1360"/>
      <c r="AS237" s="1360"/>
      <c r="AT237" s="1360"/>
      <c r="AU237" s="1360"/>
      <c r="AV237" s="1360"/>
      <c r="AW237" s="1360"/>
      <c r="AX237" s="1360"/>
      <c r="AY237" s="1360"/>
    </row>
    <row r="238" spans="1:51" s="1" customFormat="1" ht="122.25" customHeight="1">
      <c r="A238" s="895"/>
      <c r="B238" s="1" t="s">
        <v>28</v>
      </c>
      <c r="C238" s="4"/>
      <c r="D238" s="112" t="s">
        <v>29</v>
      </c>
      <c r="E238" s="112"/>
      <c r="F238" s="112"/>
      <c r="G238" s="112"/>
      <c r="H238" s="5" t="s">
        <v>1143</v>
      </c>
      <c r="I238" s="5" t="s">
        <v>64</v>
      </c>
      <c r="J238" s="16" t="s">
        <v>2888</v>
      </c>
      <c r="K238" s="8"/>
      <c r="L238" s="8"/>
      <c r="M238" s="193">
        <v>43070</v>
      </c>
      <c r="N238" s="193"/>
      <c r="O238" s="193">
        <v>43282</v>
      </c>
      <c r="P238" s="5">
        <v>48</v>
      </c>
      <c r="Q238" s="25" t="s">
        <v>2889</v>
      </c>
      <c r="R238" s="18">
        <v>800000</v>
      </c>
      <c r="S238" s="30" t="s">
        <v>1163</v>
      </c>
      <c r="T238" s="12" t="s">
        <v>1218</v>
      </c>
      <c r="U238" s="4"/>
      <c r="V238" s="4"/>
      <c r="W238" s="5" t="s">
        <v>89</v>
      </c>
      <c r="X238" s="5" t="s">
        <v>68</v>
      </c>
      <c r="Y238" s="68" t="s">
        <v>457</v>
      </c>
      <c r="Z238" s="5"/>
      <c r="AA238" s="5"/>
      <c r="AB238" s="193">
        <v>43384</v>
      </c>
      <c r="AC238" s="8" t="s">
        <v>2890</v>
      </c>
      <c r="AD238" s="141"/>
      <c r="AE238" s="39"/>
      <c r="AF238"/>
    </row>
    <row r="239" spans="1:51" s="282" customFormat="1" ht="110.4">
      <c r="A239" s="852"/>
      <c r="B239" s="712" t="s">
        <v>48</v>
      </c>
      <c r="C239" s="520" t="s">
        <v>1537</v>
      </c>
      <c r="D239" s="727" t="s">
        <v>60</v>
      </c>
      <c r="E239" s="727"/>
      <c r="F239" s="727"/>
      <c r="G239" s="727"/>
      <c r="H239" s="521" t="s">
        <v>127</v>
      </c>
      <c r="I239" s="522" t="s">
        <v>34</v>
      </c>
      <c r="J239" s="1023" t="s">
        <v>1538</v>
      </c>
      <c r="K239" s="522"/>
      <c r="L239" s="523">
        <v>43210</v>
      </c>
      <c r="M239" s="523"/>
      <c r="N239" s="523"/>
      <c r="O239" s="523">
        <v>43283</v>
      </c>
      <c r="P239" s="524">
        <v>2</v>
      </c>
      <c r="Q239" s="524">
        <v>2</v>
      </c>
      <c r="R239" s="525">
        <v>907613</v>
      </c>
      <c r="S239" s="790" t="s">
        <v>1372</v>
      </c>
      <c r="T239" s="527" t="s">
        <v>54</v>
      </c>
      <c r="U239" s="527"/>
      <c r="V239" s="527"/>
      <c r="W239" s="528" t="s">
        <v>1539</v>
      </c>
      <c r="X239" s="114"/>
      <c r="Y239" s="114"/>
      <c r="Z239" s="114"/>
      <c r="AA239" s="114"/>
      <c r="AB239" s="114"/>
      <c r="AC239" s="114"/>
      <c r="AD239" s="303"/>
      <c r="AE239" s="114"/>
      <c r="AF239" s="1357"/>
      <c r="AG239" s="1360"/>
      <c r="AH239" s="1360"/>
      <c r="AI239" s="1360"/>
      <c r="AJ239" s="1360"/>
      <c r="AK239" s="1360"/>
      <c r="AL239" s="1360"/>
      <c r="AM239" s="1360"/>
      <c r="AN239" s="1360"/>
      <c r="AO239" s="1360"/>
      <c r="AP239" s="1360"/>
      <c r="AQ239" s="1360"/>
      <c r="AR239" s="1360"/>
      <c r="AS239" s="1360"/>
      <c r="AT239" s="1360"/>
      <c r="AU239" s="1360"/>
      <c r="AV239" s="1360"/>
      <c r="AW239" s="1360"/>
      <c r="AX239" s="1360"/>
      <c r="AY239" s="1360"/>
    </row>
    <row r="240" spans="1:51" s="281" customFormat="1" ht="144">
      <c r="A240" s="889"/>
      <c r="B240" s="1" t="s">
        <v>28</v>
      </c>
      <c r="C240" s="4"/>
      <c r="D240" s="112" t="s">
        <v>29</v>
      </c>
      <c r="E240" s="112"/>
      <c r="F240" s="112"/>
      <c r="G240" s="112"/>
      <c r="H240" s="5" t="s">
        <v>70</v>
      </c>
      <c r="I240" s="12" t="s">
        <v>64</v>
      </c>
      <c r="J240" s="16" t="s">
        <v>2628</v>
      </c>
      <c r="K240" s="16"/>
      <c r="L240" s="16"/>
      <c r="M240" s="176">
        <v>43101</v>
      </c>
      <c r="N240" s="176"/>
      <c r="O240" s="176">
        <v>43284</v>
      </c>
      <c r="P240" s="12">
        <v>60</v>
      </c>
      <c r="Q240" s="25" t="s">
        <v>2891</v>
      </c>
      <c r="R240" s="18">
        <v>79073</v>
      </c>
      <c r="S240" s="30" t="s">
        <v>66</v>
      </c>
      <c r="T240" s="11" t="s">
        <v>54</v>
      </c>
      <c r="U240" s="4"/>
      <c r="V240" s="4"/>
      <c r="W240" s="12" t="s">
        <v>2630</v>
      </c>
      <c r="X240" s="5" t="s">
        <v>68</v>
      </c>
      <c r="Y240" s="5" t="s">
        <v>457</v>
      </c>
      <c r="Z240" s="5"/>
      <c r="AA240" s="26"/>
      <c r="AB240" s="193">
        <v>43396</v>
      </c>
      <c r="AC240" s="8" t="s">
        <v>2892</v>
      </c>
      <c r="AD240" s="141"/>
      <c r="AE240" s="39" t="s">
        <v>2893</v>
      </c>
      <c r="AF240" s="1360"/>
      <c r="AG240" s="1357"/>
      <c r="AH240" s="1357"/>
      <c r="AI240" s="1357"/>
      <c r="AJ240" s="1357"/>
      <c r="AK240" s="1357"/>
      <c r="AL240" s="1357"/>
      <c r="AM240" s="1357"/>
      <c r="AN240" s="1357"/>
      <c r="AO240" s="1357"/>
      <c r="AP240" s="1357"/>
      <c r="AQ240" s="1357"/>
      <c r="AR240" s="1357"/>
      <c r="AS240" s="1357"/>
      <c r="AT240" s="1357"/>
      <c r="AU240" s="1357"/>
      <c r="AV240" s="1357"/>
      <c r="AW240" s="1357"/>
      <c r="AX240" s="1357"/>
      <c r="AY240" s="1357"/>
    </row>
    <row r="241" spans="1:51" s="282" customFormat="1" ht="28.8">
      <c r="A241" s="1364"/>
      <c r="B241" s="1" t="s">
        <v>28</v>
      </c>
      <c r="C241" s="4"/>
      <c r="D241" s="31" t="s">
        <v>29</v>
      </c>
      <c r="E241" s="31"/>
      <c r="F241" s="31"/>
      <c r="G241" s="31"/>
      <c r="H241" s="5" t="s">
        <v>70</v>
      </c>
      <c r="I241" s="5" t="s">
        <v>34</v>
      </c>
      <c r="J241" s="16" t="s">
        <v>2894</v>
      </c>
      <c r="K241" s="8"/>
      <c r="L241" s="8"/>
      <c r="M241" s="14">
        <v>43237</v>
      </c>
      <c r="N241" s="14"/>
      <c r="O241" s="14">
        <v>43284</v>
      </c>
      <c r="P241" s="12" t="s">
        <v>35</v>
      </c>
      <c r="Q241" s="26" t="s">
        <v>35</v>
      </c>
      <c r="R241" s="18">
        <v>6000</v>
      </c>
      <c r="S241" s="30" t="s">
        <v>53</v>
      </c>
      <c r="T241" s="14" t="s">
        <v>54</v>
      </c>
      <c r="U241" s="4"/>
      <c r="V241" s="4"/>
      <c r="W241" s="5" t="s">
        <v>286</v>
      </c>
      <c r="X241" s="5" t="s">
        <v>68</v>
      </c>
      <c r="Y241" s="5" t="s">
        <v>179</v>
      </c>
      <c r="Z241" s="5"/>
      <c r="AA241" s="5"/>
      <c r="AB241" s="193">
        <v>43536</v>
      </c>
      <c r="AC241" s="32" t="s">
        <v>2895</v>
      </c>
      <c r="AD241" s="141"/>
      <c r="AE241" s="39" t="s">
        <v>2896</v>
      </c>
      <c r="AF241" s="1001"/>
      <c r="AG241" s="1360"/>
      <c r="AH241" s="1360"/>
      <c r="AI241" s="1360"/>
      <c r="AJ241" s="1360"/>
      <c r="AK241" s="1360"/>
      <c r="AL241" s="1360"/>
      <c r="AM241" s="1360"/>
      <c r="AN241" s="1360"/>
      <c r="AO241" s="1360"/>
      <c r="AP241" s="1360"/>
      <c r="AQ241" s="1360"/>
      <c r="AR241" s="1360"/>
      <c r="AS241" s="1360"/>
      <c r="AT241" s="1360"/>
      <c r="AU241" s="1360"/>
      <c r="AV241" s="1360"/>
      <c r="AW241" s="1360"/>
      <c r="AX241" s="1360"/>
      <c r="AY241" s="1360"/>
    </row>
    <row r="242" spans="1:51" s="1" customFormat="1" ht="43.35" customHeight="1">
      <c r="A242" s="1364"/>
      <c r="B242" s="1" t="s">
        <v>28</v>
      </c>
      <c r="C242" s="4"/>
      <c r="D242" s="31" t="s">
        <v>29</v>
      </c>
      <c r="E242" s="31"/>
      <c r="F242" s="31"/>
      <c r="G242" s="31"/>
      <c r="H242" s="5" t="s">
        <v>70</v>
      </c>
      <c r="I242" s="5" t="s">
        <v>34</v>
      </c>
      <c r="J242" s="16" t="s">
        <v>2894</v>
      </c>
      <c r="K242" s="8"/>
      <c r="L242" s="8"/>
      <c r="M242" s="14">
        <v>43237</v>
      </c>
      <c r="N242" s="14"/>
      <c r="O242" s="14">
        <v>43284</v>
      </c>
      <c r="P242" s="12" t="s">
        <v>35</v>
      </c>
      <c r="Q242" s="5" t="s">
        <v>35</v>
      </c>
      <c r="R242" s="18">
        <v>6000</v>
      </c>
      <c r="S242" s="30" t="s">
        <v>53</v>
      </c>
      <c r="T242" s="14" t="s">
        <v>54</v>
      </c>
      <c r="U242" s="4"/>
      <c r="V242" s="4"/>
      <c r="W242" s="5" t="s">
        <v>286</v>
      </c>
      <c r="X242" s="5" t="s">
        <v>68</v>
      </c>
      <c r="Y242" s="5" t="s">
        <v>179</v>
      </c>
      <c r="Z242" s="5"/>
      <c r="AA242" s="5"/>
      <c r="AB242" s="193">
        <v>43536</v>
      </c>
      <c r="AC242" s="32" t="s">
        <v>2895</v>
      </c>
      <c r="AD242" s="141"/>
      <c r="AE242" s="39" t="s">
        <v>2896</v>
      </c>
      <c r="AF242" s="1360"/>
    </row>
    <row r="243" spans="1:51" s="1" customFormat="1" ht="28.8">
      <c r="A243" s="888"/>
      <c r="B243" s="1" t="s">
        <v>28</v>
      </c>
      <c r="C243" s="4"/>
      <c r="D243" s="112" t="s">
        <v>29</v>
      </c>
      <c r="E243" s="112"/>
      <c r="F243" s="112"/>
      <c r="G243" s="112"/>
      <c r="H243" s="5" t="s">
        <v>70</v>
      </c>
      <c r="I243" s="5" t="s">
        <v>34</v>
      </c>
      <c r="J243" s="16" t="s">
        <v>2632</v>
      </c>
      <c r="K243" s="8"/>
      <c r="L243" s="8"/>
      <c r="M243" s="14">
        <v>43132</v>
      </c>
      <c r="N243" s="14"/>
      <c r="O243" s="14">
        <v>43285</v>
      </c>
      <c r="P243" s="12">
        <v>12</v>
      </c>
      <c r="Q243" s="26">
        <v>12</v>
      </c>
      <c r="R243" s="18">
        <v>3916.3</v>
      </c>
      <c r="S243" s="30" t="s">
        <v>158</v>
      </c>
      <c r="T243" s="14" t="s">
        <v>54</v>
      </c>
      <c r="U243" s="4"/>
      <c r="V243" s="4"/>
      <c r="W243" s="5" t="s">
        <v>1140</v>
      </c>
      <c r="X243" s="5" t="s">
        <v>2788</v>
      </c>
      <c r="Y243" s="5" t="s">
        <v>457</v>
      </c>
      <c r="Z243" s="5"/>
      <c r="AA243" s="5"/>
      <c r="AB243" s="193">
        <v>43335</v>
      </c>
      <c r="AC243" s="94" t="s">
        <v>2897</v>
      </c>
      <c r="AD243" s="141"/>
      <c r="AE243" s="79"/>
      <c r="AF243" s="1360"/>
    </row>
    <row r="244" spans="1:51" s="282" customFormat="1" ht="69">
      <c r="A244" s="852"/>
      <c r="B244" s="712" t="s">
        <v>48</v>
      </c>
      <c r="C244" s="520" t="s">
        <v>1552</v>
      </c>
      <c r="D244" s="727" t="s">
        <v>29</v>
      </c>
      <c r="E244" s="727"/>
      <c r="F244" s="727"/>
      <c r="G244" s="727"/>
      <c r="H244" s="521" t="s">
        <v>49</v>
      </c>
      <c r="I244" s="522" t="s">
        <v>34</v>
      </c>
      <c r="J244" s="1023" t="s">
        <v>1553</v>
      </c>
      <c r="K244" s="522"/>
      <c r="L244" s="523">
        <v>43179</v>
      </c>
      <c r="M244" s="523"/>
      <c r="N244" s="523"/>
      <c r="O244" s="523">
        <v>43304</v>
      </c>
      <c r="P244" s="524" t="s">
        <v>1554</v>
      </c>
      <c r="Q244" s="769">
        <v>1</v>
      </c>
      <c r="R244" s="525">
        <v>431000</v>
      </c>
      <c r="S244" s="790" t="s">
        <v>1508</v>
      </c>
      <c r="T244" s="527" t="s">
        <v>54</v>
      </c>
      <c r="U244" s="527"/>
      <c r="V244" s="527"/>
      <c r="W244" s="521" t="s">
        <v>875</v>
      </c>
      <c r="X244" s="114"/>
      <c r="Y244" s="114"/>
      <c r="Z244" s="114"/>
      <c r="AA244" s="114"/>
      <c r="AB244" s="114"/>
      <c r="AC244" s="114"/>
      <c r="AD244" s="303"/>
      <c r="AE244" s="114"/>
      <c r="AF244" s="1360"/>
      <c r="AG244" s="1360"/>
      <c r="AH244" s="1360"/>
      <c r="AI244" s="1360"/>
      <c r="AJ244" s="1360"/>
      <c r="AK244" s="1360"/>
      <c r="AL244" s="1360"/>
      <c r="AM244" s="1360"/>
      <c r="AN244" s="1360"/>
      <c r="AO244" s="1360"/>
      <c r="AP244" s="1360"/>
      <c r="AQ244" s="1360"/>
      <c r="AR244" s="1360"/>
      <c r="AS244" s="1360"/>
      <c r="AT244" s="1360"/>
      <c r="AU244" s="1360"/>
      <c r="AV244" s="1360"/>
      <c r="AW244" s="1360"/>
      <c r="AX244" s="1360"/>
      <c r="AY244" s="1360"/>
    </row>
    <row r="245" spans="1:51" s="282" customFormat="1" ht="69">
      <c r="A245" s="852"/>
      <c r="B245" s="712" t="s">
        <v>48</v>
      </c>
      <c r="C245" s="520" t="s">
        <v>1558</v>
      </c>
      <c r="D245" s="727" t="s">
        <v>29</v>
      </c>
      <c r="E245" s="727"/>
      <c r="F245" s="727"/>
      <c r="G245" s="727"/>
      <c r="H245" s="521" t="s">
        <v>49</v>
      </c>
      <c r="I245" s="522" t="s">
        <v>34</v>
      </c>
      <c r="J245" s="1023" t="s">
        <v>1559</v>
      </c>
      <c r="K245" s="522"/>
      <c r="L245" s="523">
        <v>43220</v>
      </c>
      <c r="M245" s="523"/>
      <c r="N245" s="523"/>
      <c r="O245" s="523">
        <v>43304</v>
      </c>
      <c r="P245" s="524">
        <v>5</v>
      </c>
      <c r="Q245" s="769">
        <v>5</v>
      </c>
      <c r="R245" s="525">
        <v>430000</v>
      </c>
      <c r="S245" s="790" t="s">
        <v>1508</v>
      </c>
      <c r="T245" s="527" t="s">
        <v>54</v>
      </c>
      <c r="U245" s="527"/>
      <c r="V245" s="527"/>
      <c r="W245" s="521" t="s">
        <v>875</v>
      </c>
      <c r="X245" s="114"/>
      <c r="Y245" s="114"/>
      <c r="Z245" s="114"/>
      <c r="AA245" s="114"/>
      <c r="AB245" s="114"/>
      <c r="AC245" s="114"/>
      <c r="AD245" s="303"/>
      <c r="AE245" s="114"/>
      <c r="AF245" s="1360"/>
      <c r="AG245" s="1360"/>
      <c r="AH245" s="1360"/>
      <c r="AI245" s="1360"/>
      <c r="AJ245" s="1360"/>
      <c r="AK245" s="1360"/>
      <c r="AL245" s="1360"/>
      <c r="AM245" s="1360"/>
      <c r="AN245" s="1360"/>
      <c r="AO245" s="1360"/>
      <c r="AP245" s="1360"/>
      <c r="AQ245" s="1360"/>
      <c r="AR245" s="1360"/>
      <c r="AS245" s="1360"/>
      <c r="AT245" s="1360"/>
      <c r="AU245" s="1360"/>
      <c r="AV245" s="1360"/>
      <c r="AW245" s="1360"/>
      <c r="AX245" s="1360"/>
      <c r="AY245" s="1360"/>
    </row>
    <row r="246" spans="1:51" s="282" customFormat="1" ht="69">
      <c r="A246" s="852"/>
      <c r="B246" s="712" t="s">
        <v>48</v>
      </c>
      <c r="C246" s="520" t="s">
        <v>1564</v>
      </c>
      <c r="D246" s="727" t="s">
        <v>29</v>
      </c>
      <c r="E246" s="727"/>
      <c r="F246" s="727"/>
      <c r="G246" s="727"/>
      <c r="H246" s="521" t="s">
        <v>49</v>
      </c>
      <c r="I246" s="522" t="s">
        <v>34</v>
      </c>
      <c r="J246" s="1023" t="s">
        <v>1565</v>
      </c>
      <c r="K246" s="522"/>
      <c r="L246" s="523">
        <v>43213</v>
      </c>
      <c r="M246" s="523"/>
      <c r="N246" s="523"/>
      <c r="O246" s="523">
        <v>43304</v>
      </c>
      <c r="P246" s="524">
        <v>1</v>
      </c>
      <c r="Q246" s="769">
        <v>1</v>
      </c>
      <c r="R246" s="525">
        <v>166000</v>
      </c>
      <c r="S246" s="790" t="s">
        <v>1466</v>
      </c>
      <c r="T246" s="805" t="s">
        <v>54</v>
      </c>
      <c r="U246" s="527"/>
      <c r="V246" s="527"/>
      <c r="W246" s="521" t="s">
        <v>1557</v>
      </c>
      <c r="X246" s="114"/>
      <c r="Y246" s="114"/>
      <c r="Z246" s="114"/>
      <c r="AA246" s="114"/>
      <c r="AB246" s="114"/>
      <c r="AC246" s="114"/>
      <c r="AD246" s="303"/>
      <c r="AE246" s="114"/>
      <c r="AF246" s="1360"/>
      <c r="AG246" s="1360"/>
      <c r="AH246" s="1360"/>
      <c r="AI246" s="1360"/>
      <c r="AJ246" s="1360"/>
      <c r="AK246" s="1360"/>
      <c r="AL246" s="1360"/>
      <c r="AM246" s="1360"/>
      <c r="AN246" s="1360"/>
      <c r="AO246" s="1360"/>
      <c r="AP246" s="1360"/>
      <c r="AQ246" s="1360"/>
      <c r="AR246" s="1360"/>
      <c r="AS246" s="1360"/>
      <c r="AT246" s="1360"/>
      <c r="AU246" s="1360"/>
      <c r="AV246" s="1360"/>
      <c r="AW246" s="1360"/>
      <c r="AX246" s="1360"/>
      <c r="AY246" s="1360"/>
    </row>
    <row r="247" spans="1:51" s="3" customFormat="1" ht="43.35" customHeight="1">
      <c r="A247" s="852"/>
      <c r="B247" s="712" t="s">
        <v>48</v>
      </c>
      <c r="C247" s="520" t="s">
        <v>1566</v>
      </c>
      <c r="D247" s="727" t="s">
        <v>29</v>
      </c>
      <c r="E247" s="727"/>
      <c r="F247" s="727"/>
      <c r="G247" s="727"/>
      <c r="H247" s="521" t="s">
        <v>49</v>
      </c>
      <c r="I247" s="522" t="s">
        <v>34</v>
      </c>
      <c r="J247" s="1023" t="s">
        <v>1567</v>
      </c>
      <c r="K247" s="522"/>
      <c r="L247" s="523">
        <v>43186</v>
      </c>
      <c r="M247" s="523"/>
      <c r="N247" s="523"/>
      <c r="O247" s="523">
        <v>43304</v>
      </c>
      <c r="P247" s="524">
        <v>1</v>
      </c>
      <c r="Q247" s="769">
        <v>1</v>
      </c>
      <c r="R247" s="525">
        <v>490000</v>
      </c>
      <c r="S247" s="790" t="s">
        <v>1508</v>
      </c>
      <c r="T247" s="805" t="s">
        <v>54</v>
      </c>
      <c r="U247" s="527"/>
      <c r="V247" s="527"/>
      <c r="W247" s="521" t="s">
        <v>1557</v>
      </c>
      <c r="X247" s="114"/>
      <c r="Y247" s="114"/>
      <c r="Z247" s="114"/>
      <c r="AA247" s="114"/>
      <c r="AB247" s="114"/>
      <c r="AC247" s="114"/>
      <c r="AD247" s="303"/>
      <c r="AE247" s="114"/>
      <c r="AF247" s="1360"/>
    </row>
    <row r="248" spans="1:51" s="281" customFormat="1" ht="69">
      <c r="A248" s="852"/>
      <c r="B248" s="712" t="s">
        <v>48</v>
      </c>
      <c r="C248" s="520" t="s">
        <v>1568</v>
      </c>
      <c r="D248" s="727" t="s">
        <v>29</v>
      </c>
      <c r="E248" s="727"/>
      <c r="F248" s="727"/>
      <c r="G248" s="727"/>
      <c r="H248" s="521" t="s">
        <v>49</v>
      </c>
      <c r="I248" s="522" t="s">
        <v>34</v>
      </c>
      <c r="J248" s="1023" t="s">
        <v>1569</v>
      </c>
      <c r="K248" s="522"/>
      <c r="L248" s="523">
        <v>43187</v>
      </c>
      <c r="M248" s="523"/>
      <c r="N248" s="523"/>
      <c r="O248" s="523">
        <v>43304</v>
      </c>
      <c r="P248" s="524">
        <v>1</v>
      </c>
      <c r="Q248" s="769">
        <v>1</v>
      </c>
      <c r="R248" s="525">
        <v>50000</v>
      </c>
      <c r="S248" s="790" t="s">
        <v>1466</v>
      </c>
      <c r="T248" s="527" t="s">
        <v>54</v>
      </c>
      <c r="U248" s="527"/>
      <c r="V248" s="527"/>
      <c r="W248" s="521" t="s">
        <v>875</v>
      </c>
      <c r="X248" s="114"/>
      <c r="Y248" s="114"/>
      <c r="Z248" s="114"/>
      <c r="AA248" s="180"/>
      <c r="AB248" s="114"/>
      <c r="AC248" s="114"/>
      <c r="AD248" s="303"/>
      <c r="AE248" s="114"/>
      <c r="AF248" s="1360"/>
      <c r="AG248" s="1357"/>
      <c r="AH248" s="1357"/>
      <c r="AI248" s="1357"/>
      <c r="AJ248" s="1357"/>
      <c r="AK248" s="1357"/>
      <c r="AL248" s="1357"/>
      <c r="AM248" s="1357"/>
      <c r="AN248" s="1357"/>
      <c r="AO248" s="1357"/>
      <c r="AP248" s="1357"/>
      <c r="AQ248" s="1357"/>
      <c r="AR248" s="1357"/>
      <c r="AS248" s="1357"/>
      <c r="AT248" s="1357"/>
      <c r="AU248" s="1357"/>
      <c r="AV248" s="1357"/>
      <c r="AW248" s="1357"/>
      <c r="AX248" s="1357"/>
      <c r="AY248" s="1357"/>
    </row>
    <row r="249" spans="1:51" s="281" customFormat="1" ht="69">
      <c r="A249" s="852"/>
      <c r="B249" s="714" t="s">
        <v>48</v>
      </c>
      <c r="C249" s="520" t="s">
        <v>1570</v>
      </c>
      <c r="D249" s="727" t="s">
        <v>29</v>
      </c>
      <c r="E249" s="727"/>
      <c r="F249" s="727"/>
      <c r="G249" s="727"/>
      <c r="H249" s="521" t="s">
        <v>49</v>
      </c>
      <c r="I249" s="522" t="s">
        <v>34</v>
      </c>
      <c r="J249" s="1023" t="s">
        <v>1571</v>
      </c>
      <c r="K249" s="522"/>
      <c r="L249" s="523">
        <v>43186</v>
      </c>
      <c r="M249" s="523"/>
      <c r="N249" s="523"/>
      <c r="O249" s="523">
        <v>43304</v>
      </c>
      <c r="P249" s="524">
        <v>1</v>
      </c>
      <c r="Q249" s="524">
        <v>1</v>
      </c>
      <c r="R249" s="525">
        <v>50000</v>
      </c>
      <c r="S249" s="526" t="s">
        <v>1466</v>
      </c>
      <c r="T249" s="527" t="s">
        <v>54</v>
      </c>
      <c r="U249" s="527"/>
      <c r="V249" s="527"/>
      <c r="W249" s="521" t="s">
        <v>875</v>
      </c>
      <c r="X249" s="114"/>
      <c r="Y249" s="821"/>
      <c r="Z249" s="114"/>
      <c r="AA249" s="114"/>
      <c r="AB249" s="114"/>
      <c r="AC249" s="114"/>
      <c r="AD249" s="303"/>
      <c r="AE249" s="114"/>
      <c r="AF249" s="1357"/>
      <c r="AG249" s="1357"/>
      <c r="AH249" s="1357"/>
      <c r="AI249" s="1357"/>
      <c r="AJ249" s="1357"/>
      <c r="AK249" s="1357"/>
      <c r="AL249" s="1357"/>
      <c r="AM249" s="1357"/>
      <c r="AN249" s="1357"/>
      <c r="AO249" s="1357"/>
      <c r="AP249" s="1357"/>
      <c r="AQ249" s="1357"/>
      <c r="AR249" s="1357"/>
      <c r="AS249" s="1357"/>
      <c r="AT249" s="1357"/>
      <c r="AU249" s="1357"/>
      <c r="AV249" s="1357"/>
      <c r="AW249" s="1357"/>
      <c r="AX249" s="1357"/>
      <c r="AY249" s="1357"/>
    </row>
    <row r="250" spans="1:51" s="1" customFormat="1" ht="69">
      <c r="A250" s="852"/>
      <c r="B250" s="714" t="s">
        <v>48</v>
      </c>
      <c r="C250" s="520" t="s">
        <v>1572</v>
      </c>
      <c r="D250" s="727" t="s">
        <v>29</v>
      </c>
      <c r="E250" s="727"/>
      <c r="F250" s="727"/>
      <c r="G250" s="727"/>
      <c r="H250" s="521" t="s">
        <v>49</v>
      </c>
      <c r="I250" s="522" t="s">
        <v>34</v>
      </c>
      <c r="J250" s="1023" t="s">
        <v>1573</v>
      </c>
      <c r="K250" s="522"/>
      <c r="L250" s="535" t="s">
        <v>1574</v>
      </c>
      <c r="M250" s="535"/>
      <c r="N250" s="535"/>
      <c r="O250" s="523">
        <v>43304</v>
      </c>
      <c r="P250" s="524">
        <v>1</v>
      </c>
      <c r="Q250" s="524">
        <v>1</v>
      </c>
      <c r="R250" s="525">
        <v>150000</v>
      </c>
      <c r="S250" s="790" t="s">
        <v>1466</v>
      </c>
      <c r="T250" s="527" t="s">
        <v>54</v>
      </c>
      <c r="U250" s="527"/>
      <c r="V250" s="527"/>
      <c r="W250" s="521" t="s">
        <v>1468</v>
      </c>
      <c r="X250" s="114"/>
      <c r="Y250" s="821"/>
      <c r="Z250" s="114"/>
      <c r="AA250" s="114"/>
      <c r="AB250" s="114"/>
      <c r="AC250" s="114"/>
      <c r="AD250" s="303"/>
      <c r="AE250" s="114"/>
      <c r="AF250" s="1357"/>
    </row>
    <row r="251" spans="1:51" s="281" customFormat="1" ht="69">
      <c r="A251" s="852"/>
      <c r="B251" s="714" t="s">
        <v>48</v>
      </c>
      <c r="C251" s="520" t="s">
        <v>1575</v>
      </c>
      <c r="D251" s="727" t="s">
        <v>29</v>
      </c>
      <c r="E251" s="727"/>
      <c r="F251" s="727"/>
      <c r="G251" s="727"/>
      <c r="H251" s="521" t="s">
        <v>49</v>
      </c>
      <c r="I251" s="522" t="s">
        <v>34</v>
      </c>
      <c r="J251" s="1023" t="s">
        <v>1576</v>
      </c>
      <c r="K251" s="522"/>
      <c r="L251" s="523">
        <v>43252</v>
      </c>
      <c r="M251" s="523"/>
      <c r="N251" s="523"/>
      <c r="O251" s="523">
        <v>43304</v>
      </c>
      <c r="P251" s="524">
        <v>1</v>
      </c>
      <c r="Q251" s="769">
        <v>1</v>
      </c>
      <c r="R251" s="525">
        <v>60000</v>
      </c>
      <c r="S251" s="790" t="s">
        <v>1466</v>
      </c>
      <c r="T251" s="527" t="s">
        <v>54</v>
      </c>
      <c r="U251" s="527"/>
      <c r="V251" s="527"/>
      <c r="W251" s="528" t="s">
        <v>406</v>
      </c>
      <c r="X251" s="114"/>
      <c r="Y251" s="114"/>
      <c r="Z251" s="114"/>
      <c r="AA251" s="114"/>
      <c r="AB251" s="114"/>
      <c r="AC251" s="114"/>
      <c r="AD251" s="303"/>
      <c r="AE251" s="114"/>
      <c r="AF251" s="1357"/>
      <c r="AG251" s="1357"/>
      <c r="AH251" s="1357"/>
      <c r="AI251" s="1357"/>
      <c r="AJ251" s="1357"/>
      <c r="AK251" s="1357"/>
      <c r="AL251" s="1357"/>
      <c r="AM251" s="1357"/>
      <c r="AN251" s="1357"/>
      <c r="AO251" s="1357"/>
      <c r="AP251" s="1357"/>
      <c r="AQ251" s="1357"/>
      <c r="AR251" s="1357"/>
      <c r="AS251" s="1357"/>
      <c r="AT251" s="1357"/>
      <c r="AU251" s="1357"/>
      <c r="AV251" s="1357"/>
      <c r="AW251" s="1357"/>
      <c r="AX251" s="1357"/>
      <c r="AY251" s="1357"/>
    </row>
    <row r="252" spans="1:51" s="282" customFormat="1" ht="70.5" customHeight="1">
      <c r="A252" s="852"/>
      <c r="B252" s="714" t="s">
        <v>48</v>
      </c>
      <c r="C252" s="520" t="s">
        <v>1577</v>
      </c>
      <c r="D252" s="727" t="s">
        <v>29</v>
      </c>
      <c r="E252" s="727"/>
      <c r="F252" s="727"/>
      <c r="G252" s="727"/>
      <c r="H252" s="521" t="s">
        <v>49</v>
      </c>
      <c r="I252" s="522" t="s">
        <v>34</v>
      </c>
      <c r="J252" s="1023" t="s">
        <v>1578</v>
      </c>
      <c r="K252" s="522"/>
      <c r="L252" s="535">
        <v>43251</v>
      </c>
      <c r="M252" s="535"/>
      <c r="N252" s="535"/>
      <c r="O252" s="523">
        <v>43304</v>
      </c>
      <c r="P252" s="524">
        <v>1</v>
      </c>
      <c r="Q252" s="524">
        <v>1</v>
      </c>
      <c r="R252" s="525">
        <v>200000</v>
      </c>
      <c r="S252" s="526" t="s">
        <v>1466</v>
      </c>
      <c r="T252" s="527" t="s">
        <v>54</v>
      </c>
      <c r="U252" s="527"/>
      <c r="V252" s="527"/>
      <c r="W252" s="528" t="s">
        <v>406</v>
      </c>
      <c r="X252" s="114"/>
      <c r="Y252" s="114"/>
      <c r="Z252" s="114"/>
      <c r="AA252" s="180"/>
      <c r="AB252" s="114"/>
      <c r="AC252" s="114"/>
      <c r="AD252" s="303"/>
      <c r="AE252" s="114"/>
      <c r="AF252" s="1357"/>
      <c r="AG252" s="1360"/>
      <c r="AH252" s="1360"/>
      <c r="AI252" s="1360"/>
      <c r="AJ252" s="1360"/>
      <c r="AK252" s="1360"/>
      <c r="AL252" s="1360"/>
      <c r="AM252" s="1360"/>
      <c r="AN252" s="1360"/>
      <c r="AO252" s="1360"/>
      <c r="AP252" s="1360"/>
      <c r="AQ252" s="1360"/>
      <c r="AR252" s="1360"/>
      <c r="AS252" s="1360"/>
      <c r="AT252" s="1360"/>
      <c r="AU252" s="1360"/>
      <c r="AV252" s="1360"/>
      <c r="AW252" s="1360"/>
      <c r="AX252" s="1360"/>
      <c r="AY252" s="1360"/>
    </row>
    <row r="253" spans="1:51" s="282" customFormat="1" ht="69">
      <c r="A253" s="852"/>
      <c r="B253" s="714" t="s">
        <v>48</v>
      </c>
      <c r="C253" s="520" t="s">
        <v>1582</v>
      </c>
      <c r="D253" s="727" t="s">
        <v>29</v>
      </c>
      <c r="E253" s="727"/>
      <c r="F253" s="727"/>
      <c r="G253" s="727"/>
      <c r="H253" s="521" t="s">
        <v>49</v>
      </c>
      <c r="I253" s="522" t="s">
        <v>34</v>
      </c>
      <c r="J253" s="1023" t="s">
        <v>1583</v>
      </c>
      <c r="K253" s="522"/>
      <c r="L253" s="535">
        <v>43265</v>
      </c>
      <c r="M253" s="535"/>
      <c r="N253" s="535"/>
      <c r="O253" s="523">
        <v>43304</v>
      </c>
      <c r="P253" s="524">
        <v>1</v>
      </c>
      <c r="Q253" s="524">
        <v>1</v>
      </c>
      <c r="R253" s="525">
        <v>60000</v>
      </c>
      <c r="S253" s="790" t="s">
        <v>1466</v>
      </c>
      <c r="T253" s="527" t="s">
        <v>54</v>
      </c>
      <c r="U253" s="527"/>
      <c r="V253" s="527"/>
      <c r="W253" s="528" t="s">
        <v>406</v>
      </c>
      <c r="X253" s="114"/>
      <c r="Y253" s="114"/>
      <c r="Z253" s="114"/>
      <c r="AA253" s="114"/>
      <c r="AB253" s="114"/>
      <c r="AC253" s="114"/>
      <c r="AD253" s="303"/>
      <c r="AE253" s="114"/>
      <c r="AF253" s="1"/>
      <c r="AG253" s="1360"/>
      <c r="AH253" s="1360"/>
      <c r="AI253" s="1360"/>
      <c r="AJ253" s="1360"/>
      <c r="AK253" s="1360"/>
      <c r="AL253" s="1360"/>
      <c r="AM253" s="1360"/>
      <c r="AN253" s="1360"/>
      <c r="AO253" s="1360"/>
      <c r="AP253" s="1360"/>
      <c r="AQ253" s="1360"/>
      <c r="AR253" s="1360"/>
      <c r="AS253" s="1360"/>
      <c r="AT253" s="1360"/>
      <c r="AU253" s="1360"/>
      <c r="AV253" s="1360"/>
      <c r="AW253" s="1360"/>
      <c r="AX253" s="1360"/>
      <c r="AY253" s="1360"/>
    </row>
    <row r="254" spans="1:51" s="1" customFormat="1" ht="69">
      <c r="A254" s="852"/>
      <c r="B254" s="714" t="s">
        <v>48</v>
      </c>
      <c r="C254" s="520" t="s">
        <v>1606</v>
      </c>
      <c r="D254" s="727" t="s">
        <v>29</v>
      </c>
      <c r="E254" s="727"/>
      <c r="F254" s="727"/>
      <c r="G254" s="727"/>
      <c r="H254" s="521" t="s">
        <v>49</v>
      </c>
      <c r="I254" s="522" t="s">
        <v>34</v>
      </c>
      <c r="J254" s="1023" t="s">
        <v>1607</v>
      </c>
      <c r="K254" s="522"/>
      <c r="L254" s="523">
        <v>43210</v>
      </c>
      <c r="M254" s="523"/>
      <c r="N254" s="523"/>
      <c r="O254" s="523">
        <v>43304</v>
      </c>
      <c r="P254" s="524">
        <v>2</v>
      </c>
      <c r="Q254" s="769">
        <v>2</v>
      </c>
      <c r="R254" s="525">
        <v>50000</v>
      </c>
      <c r="S254" s="790" t="s">
        <v>1466</v>
      </c>
      <c r="T254" s="527" t="s">
        <v>54</v>
      </c>
      <c r="U254" s="527"/>
      <c r="V254" s="527"/>
      <c r="W254" s="528" t="s">
        <v>406</v>
      </c>
      <c r="X254" s="114"/>
      <c r="Y254" s="114"/>
      <c r="Z254" s="114"/>
      <c r="AA254" s="114"/>
      <c r="AB254" s="114"/>
      <c r="AC254" s="114"/>
      <c r="AD254" s="303"/>
      <c r="AE254" s="114"/>
      <c r="AF254" s="1357"/>
    </row>
    <row r="255" spans="1:51" s="281" customFormat="1" ht="43.35" customHeight="1">
      <c r="A255" s="852"/>
      <c r="B255" s="714" t="s">
        <v>48</v>
      </c>
      <c r="C255" s="465" t="s">
        <v>1666</v>
      </c>
      <c r="D255" s="554" t="s">
        <v>29</v>
      </c>
      <c r="E255" s="554"/>
      <c r="F255" s="554"/>
      <c r="G255" s="554"/>
      <c r="H255" s="466" t="s">
        <v>49</v>
      </c>
      <c r="I255" s="474" t="s">
        <v>34</v>
      </c>
      <c r="J255" s="1024" t="s">
        <v>1667</v>
      </c>
      <c r="K255" s="467"/>
      <c r="L255" s="540" t="s">
        <v>1266</v>
      </c>
      <c r="M255" s="540"/>
      <c r="N255" s="540"/>
      <c r="O255" s="540">
        <v>43304</v>
      </c>
      <c r="P255" s="471">
        <v>1</v>
      </c>
      <c r="Q255" s="471">
        <v>1</v>
      </c>
      <c r="R255" s="542">
        <v>205000</v>
      </c>
      <c r="S255" s="791" t="s">
        <v>109</v>
      </c>
      <c r="T255" s="470" t="s">
        <v>54</v>
      </c>
      <c r="U255" s="470"/>
      <c r="V255" s="470"/>
      <c r="W255" s="474" t="s">
        <v>406</v>
      </c>
      <c r="X255" s="114"/>
      <c r="Y255" s="114"/>
      <c r="Z255" s="114"/>
      <c r="AA255" s="114"/>
      <c r="AB255" s="114"/>
      <c r="AC255" s="114"/>
      <c r="AD255" s="303"/>
      <c r="AE255" s="114"/>
      <c r="AF255" s="1360"/>
      <c r="AG255" s="1357"/>
      <c r="AH255" s="1357"/>
      <c r="AI255" s="1357"/>
      <c r="AJ255" s="1357"/>
      <c r="AK255" s="1357"/>
      <c r="AL255" s="1357"/>
      <c r="AM255" s="1357"/>
      <c r="AN255" s="1357"/>
      <c r="AO255" s="1357"/>
      <c r="AP255" s="1357"/>
      <c r="AQ255" s="1357"/>
      <c r="AR255" s="1357"/>
      <c r="AS255" s="1357"/>
      <c r="AT255" s="1357"/>
      <c r="AU255" s="1357"/>
      <c r="AV255" s="1357"/>
      <c r="AW255" s="1357"/>
      <c r="AX255" s="1357"/>
      <c r="AY255" s="1357"/>
    </row>
    <row r="256" spans="1:51" s="281" customFormat="1" ht="43.2">
      <c r="A256" s="454"/>
      <c r="B256" s="260" t="s">
        <v>28</v>
      </c>
      <c r="C256" s="1347"/>
      <c r="D256" s="112" t="s">
        <v>29</v>
      </c>
      <c r="E256" s="112"/>
      <c r="F256" s="112"/>
      <c r="G256" s="112"/>
      <c r="H256" s="5" t="s">
        <v>2898</v>
      </c>
      <c r="I256" s="5" t="s">
        <v>64</v>
      </c>
      <c r="J256" s="16" t="s">
        <v>2899</v>
      </c>
      <c r="K256" s="8"/>
      <c r="L256" s="8"/>
      <c r="M256" s="193">
        <v>42917</v>
      </c>
      <c r="N256" s="193"/>
      <c r="O256" s="193">
        <v>43313</v>
      </c>
      <c r="P256" s="5">
        <v>60</v>
      </c>
      <c r="Q256" s="25" t="s">
        <v>2900</v>
      </c>
      <c r="R256" s="18">
        <v>377750</v>
      </c>
      <c r="S256" s="30" t="s">
        <v>2648</v>
      </c>
      <c r="T256" s="11" t="s">
        <v>54</v>
      </c>
      <c r="U256" s="1347"/>
      <c r="V256" s="1347"/>
      <c r="W256" s="5" t="s">
        <v>2901</v>
      </c>
      <c r="X256" s="5" t="s">
        <v>68</v>
      </c>
      <c r="Y256" s="5" t="s">
        <v>457</v>
      </c>
      <c r="Z256" s="5"/>
      <c r="AA256" s="5"/>
      <c r="AB256" s="7"/>
      <c r="AC256" s="8" t="s">
        <v>2902</v>
      </c>
      <c r="AD256" s="141"/>
      <c r="AE256" s="79"/>
      <c r="AF256" s="1"/>
      <c r="AG256" s="1357"/>
      <c r="AH256" s="1357"/>
      <c r="AI256" s="1357"/>
      <c r="AJ256" s="1357"/>
      <c r="AK256" s="1357"/>
      <c r="AL256" s="1357"/>
      <c r="AM256" s="1357"/>
      <c r="AN256" s="1357"/>
      <c r="AO256" s="1357"/>
      <c r="AP256" s="1357"/>
      <c r="AQ256" s="1357"/>
      <c r="AR256" s="1357"/>
      <c r="AS256" s="1357"/>
      <c r="AT256" s="1357"/>
      <c r="AU256" s="1357"/>
      <c r="AV256" s="1357"/>
      <c r="AW256" s="1357"/>
      <c r="AX256" s="1357"/>
      <c r="AY256" s="1357"/>
    </row>
    <row r="257" spans="1:51" s="281" customFormat="1" ht="43.2">
      <c r="A257" s="888"/>
      <c r="B257" s="260" t="s">
        <v>28</v>
      </c>
      <c r="C257" s="1347"/>
      <c r="D257" s="112" t="s">
        <v>29</v>
      </c>
      <c r="E257" s="112"/>
      <c r="F257" s="112"/>
      <c r="G257" s="112"/>
      <c r="H257" s="5" t="s">
        <v>2654</v>
      </c>
      <c r="I257" s="5" t="s">
        <v>64</v>
      </c>
      <c r="J257" s="16" t="s">
        <v>2655</v>
      </c>
      <c r="K257" s="16"/>
      <c r="L257" s="16"/>
      <c r="M257" s="176">
        <v>43191</v>
      </c>
      <c r="N257" s="176"/>
      <c r="O257" s="176">
        <v>43313</v>
      </c>
      <c r="P257" s="12">
        <v>12</v>
      </c>
      <c r="Q257" s="13" t="s">
        <v>108</v>
      </c>
      <c r="R257" s="18">
        <v>446.4</v>
      </c>
      <c r="S257" s="30" t="s">
        <v>2615</v>
      </c>
      <c r="T257" s="11" t="s">
        <v>54</v>
      </c>
      <c r="U257" s="1347"/>
      <c r="V257" s="1347"/>
      <c r="W257" s="5" t="s">
        <v>2656</v>
      </c>
      <c r="X257" s="5" t="s">
        <v>2617</v>
      </c>
      <c r="Y257" s="5" t="s">
        <v>457</v>
      </c>
      <c r="Z257" s="5"/>
      <c r="AA257" s="26"/>
      <c r="AB257" s="193"/>
      <c r="AC257" s="35" t="s">
        <v>2657</v>
      </c>
      <c r="AD257" s="141"/>
      <c r="AE257" s="17"/>
      <c r="AF257" s="1360"/>
      <c r="AG257" s="1357"/>
      <c r="AH257" s="1357"/>
      <c r="AI257" s="1357"/>
      <c r="AJ257" s="1357"/>
      <c r="AK257" s="1357"/>
      <c r="AL257" s="1357"/>
      <c r="AM257" s="1357"/>
      <c r="AN257" s="1357"/>
      <c r="AO257" s="1357"/>
      <c r="AP257" s="1357"/>
      <c r="AQ257" s="1357"/>
      <c r="AR257" s="1357"/>
      <c r="AS257" s="1357"/>
      <c r="AT257" s="1357"/>
      <c r="AU257" s="1357"/>
      <c r="AV257" s="1357"/>
      <c r="AW257" s="1357"/>
      <c r="AX257" s="1357"/>
      <c r="AY257" s="1357"/>
    </row>
    <row r="258" spans="1:51" s="281" customFormat="1" ht="43.2">
      <c r="A258" s="888"/>
      <c r="B258" s="260" t="s">
        <v>28</v>
      </c>
      <c r="C258" s="4"/>
      <c r="D258" s="112" t="s">
        <v>60</v>
      </c>
      <c r="E258" s="112"/>
      <c r="F258" s="112"/>
      <c r="G258" s="112"/>
      <c r="H258" s="5" t="s">
        <v>171</v>
      </c>
      <c r="I258" s="5" t="s">
        <v>34</v>
      </c>
      <c r="J258" s="16" t="s">
        <v>2903</v>
      </c>
      <c r="K258" s="16"/>
      <c r="L258" s="16"/>
      <c r="M258" s="176">
        <v>43221</v>
      </c>
      <c r="N258" s="176"/>
      <c r="O258" s="176">
        <v>43313</v>
      </c>
      <c r="P258" s="12">
        <v>4</v>
      </c>
      <c r="Q258" s="7" t="s">
        <v>754</v>
      </c>
      <c r="R258" s="106">
        <v>55626</v>
      </c>
      <c r="S258" s="30" t="s">
        <v>2904</v>
      </c>
      <c r="T258" s="11" t="s">
        <v>54</v>
      </c>
      <c r="U258" s="4"/>
      <c r="V258" s="4"/>
      <c r="W258" s="5" t="s">
        <v>2905</v>
      </c>
      <c r="X258" s="5" t="s">
        <v>1536</v>
      </c>
      <c r="Y258" s="5" t="s">
        <v>457</v>
      </c>
      <c r="Z258" s="5"/>
      <c r="AA258" s="26"/>
      <c r="AB258" s="193">
        <v>43476</v>
      </c>
      <c r="AC258" s="107" t="s">
        <v>2906</v>
      </c>
      <c r="AD258" s="141"/>
      <c r="AE258" s="38"/>
      <c r="AF258" s="1357"/>
      <c r="AG258" s="1357"/>
      <c r="AH258" s="1357"/>
      <c r="AI258" s="1357"/>
      <c r="AJ258" s="1357"/>
      <c r="AK258" s="1357"/>
      <c r="AL258" s="1357"/>
      <c r="AM258" s="1357"/>
      <c r="AN258" s="1357"/>
      <c r="AO258" s="1357"/>
      <c r="AP258" s="1357"/>
      <c r="AQ258" s="1357"/>
      <c r="AR258" s="1357"/>
      <c r="AS258" s="1357"/>
      <c r="AT258" s="1357"/>
      <c r="AU258" s="1357"/>
      <c r="AV258" s="1357"/>
      <c r="AW258" s="1357"/>
      <c r="AX258" s="1357"/>
      <c r="AY258" s="1357"/>
    </row>
    <row r="259" spans="1:51" s="281" customFormat="1" ht="43.2">
      <c r="A259" s="888"/>
      <c r="B259" s="260" t="s">
        <v>28</v>
      </c>
      <c r="C259" s="4"/>
      <c r="D259" s="8" t="s">
        <v>60</v>
      </c>
      <c r="E259" s="8"/>
      <c r="F259" s="8"/>
      <c r="G259" s="8"/>
      <c r="H259" s="5" t="s">
        <v>171</v>
      </c>
      <c r="I259" s="5" t="s">
        <v>34</v>
      </c>
      <c r="J259" s="16" t="s">
        <v>2903</v>
      </c>
      <c r="K259" s="16"/>
      <c r="L259" s="16"/>
      <c r="M259" s="176">
        <v>43221</v>
      </c>
      <c r="N259" s="176"/>
      <c r="O259" s="176">
        <v>43313</v>
      </c>
      <c r="P259" s="12">
        <v>4</v>
      </c>
      <c r="Q259" s="25" t="s">
        <v>754</v>
      </c>
      <c r="R259" s="106">
        <v>55626</v>
      </c>
      <c r="S259" s="30" t="s">
        <v>2904</v>
      </c>
      <c r="T259" s="11" t="s">
        <v>54</v>
      </c>
      <c r="U259" s="4"/>
      <c r="V259" s="4"/>
      <c r="W259" s="5" t="s">
        <v>2905</v>
      </c>
      <c r="X259" s="5" t="s">
        <v>1536</v>
      </c>
      <c r="Y259" s="5" t="s">
        <v>457</v>
      </c>
      <c r="Z259" s="5"/>
      <c r="AA259" s="5"/>
      <c r="AB259" s="193">
        <v>43476</v>
      </c>
      <c r="AC259" s="107" t="s">
        <v>2906</v>
      </c>
      <c r="AD259" s="141"/>
      <c r="AE259" s="38"/>
      <c r="AF259" s="1360"/>
      <c r="AG259" s="1357"/>
      <c r="AH259" s="1357"/>
      <c r="AI259" s="1357"/>
      <c r="AJ259" s="1357"/>
      <c r="AK259" s="1357"/>
      <c r="AL259" s="1357"/>
      <c r="AM259" s="1357"/>
      <c r="AN259" s="1357"/>
      <c r="AO259" s="1357"/>
      <c r="AP259" s="1357"/>
      <c r="AQ259" s="1357"/>
      <c r="AR259" s="1357"/>
      <c r="AS259" s="1357"/>
      <c r="AT259" s="1357"/>
      <c r="AU259" s="1357"/>
      <c r="AV259" s="1357"/>
      <c r="AW259" s="1357"/>
      <c r="AX259" s="1357"/>
      <c r="AY259" s="1357"/>
    </row>
    <row r="260" spans="1:51" s="281" customFormat="1" ht="57.6">
      <c r="A260" s="888"/>
      <c r="B260" s="260" t="s">
        <v>28</v>
      </c>
      <c r="C260" s="1347"/>
      <c r="D260" s="112" t="s">
        <v>29</v>
      </c>
      <c r="E260" s="112"/>
      <c r="F260" s="112"/>
      <c r="G260" s="112"/>
      <c r="H260" s="5" t="s">
        <v>2907</v>
      </c>
      <c r="I260" s="5" t="s">
        <v>64</v>
      </c>
      <c r="J260" s="16" t="s">
        <v>2908</v>
      </c>
      <c r="K260" s="16"/>
      <c r="L260" s="16"/>
      <c r="M260" s="14">
        <v>43313</v>
      </c>
      <c r="N260" s="14"/>
      <c r="O260" s="14">
        <v>43313</v>
      </c>
      <c r="P260" s="12">
        <v>12</v>
      </c>
      <c r="Q260" s="26">
        <v>12</v>
      </c>
      <c r="R260" s="18">
        <v>54000</v>
      </c>
      <c r="S260" s="30" t="s">
        <v>109</v>
      </c>
      <c r="T260" s="12" t="s">
        <v>54</v>
      </c>
      <c r="U260" s="1347"/>
      <c r="V260" s="1347"/>
      <c r="W260" s="5" t="s">
        <v>2909</v>
      </c>
      <c r="X260" s="5" t="s">
        <v>1097</v>
      </c>
      <c r="Y260" s="5" t="s">
        <v>457</v>
      </c>
      <c r="Z260" s="5"/>
      <c r="AA260" s="5"/>
      <c r="AB260" s="193">
        <v>43476</v>
      </c>
      <c r="AC260" s="8" t="s">
        <v>2910</v>
      </c>
      <c r="AD260" s="141"/>
      <c r="AE260" s="18"/>
      <c r="AF260" s="1"/>
      <c r="AG260" s="1357"/>
      <c r="AH260" s="1357"/>
      <c r="AI260" s="1357"/>
      <c r="AJ260" s="1357"/>
      <c r="AK260" s="1357"/>
      <c r="AL260" s="1357"/>
      <c r="AM260" s="1357"/>
      <c r="AN260" s="1357"/>
      <c r="AO260" s="1357"/>
      <c r="AP260" s="1357"/>
      <c r="AQ260" s="1357"/>
      <c r="AR260" s="1357"/>
      <c r="AS260" s="1357"/>
      <c r="AT260" s="1357"/>
      <c r="AU260" s="1357"/>
      <c r="AV260" s="1357"/>
      <c r="AW260" s="1357"/>
      <c r="AX260" s="1357"/>
      <c r="AY260" s="1357"/>
    </row>
    <row r="261" spans="1:51" s="281" customFormat="1" ht="43.35" customHeight="1">
      <c r="A261" s="852"/>
      <c r="B261" s="714" t="s">
        <v>48</v>
      </c>
      <c r="C261" s="465"/>
      <c r="D261" s="466" t="s">
        <v>60</v>
      </c>
      <c r="E261" s="466"/>
      <c r="F261" s="466"/>
      <c r="G261" s="466"/>
      <c r="H261" s="466" t="s">
        <v>127</v>
      </c>
      <c r="I261" s="474" t="s">
        <v>34</v>
      </c>
      <c r="J261" s="1024" t="s">
        <v>1433</v>
      </c>
      <c r="K261" s="467"/>
      <c r="L261" s="540">
        <v>43221</v>
      </c>
      <c r="M261" s="540"/>
      <c r="N261" s="540"/>
      <c r="O261" s="540">
        <v>43313</v>
      </c>
      <c r="P261" s="471">
        <v>12</v>
      </c>
      <c r="Q261" s="471">
        <v>12</v>
      </c>
      <c r="R261" s="542">
        <v>50000</v>
      </c>
      <c r="S261" s="478" t="s">
        <v>163</v>
      </c>
      <c r="T261" s="470" t="s">
        <v>54</v>
      </c>
      <c r="U261" s="470"/>
      <c r="V261" s="470"/>
      <c r="W261" s="474" t="s">
        <v>511</v>
      </c>
      <c r="X261" s="114"/>
      <c r="Y261" s="114"/>
      <c r="Z261" s="114"/>
      <c r="AA261" s="114"/>
      <c r="AB261" s="114"/>
      <c r="AC261" s="114"/>
      <c r="AD261" s="303"/>
      <c r="AE261" s="114"/>
      <c r="AF261" s="1"/>
      <c r="AG261" s="1357"/>
      <c r="AH261" s="1357"/>
      <c r="AI261" s="1357"/>
      <c r="AJ261" s="1357"/>
      <c r="AK261" s="1357"/>
      <c r="AL261" s="1357"/>
      <c r="AM261" s="1357"/>
      <c r="AN261" s="1357"/>
      <c r="AO261" s="1357"/>
      <c r="AP261" s="1357"/>
      <c r="AQ261" s="1357"/>
      <c r="AR261" s="1357"/>
      <c r="AS261" s="1357"/>
      <c r="AT261" s="1357"/>
      <c r="AU261" s="1357"/>
      <c r="AV261" s="1357"/>
      <c r="AW261" s="1357"/>
      <c r="AX261" s="1357"/>
      <c r="AY261" s="1357"/>
    </row>
    <row r="262" spans="1:51" s="282" customFormat="1" ht="69">
      <c r="A262" s="852"/>
      <c r="B262" s="714" t="s">
        <v>48</v>
      </c>
      <c r="C262" s="520" t="s">
        <v>1560</v>
      </c>
      <c r="D262" s="727" t="s">
        <v>29</v>
      </c>
      <c r="E262" s="727"/>
      <c r="F262" s="727"/>
      <c r="G262" s="727"/>
      <c r="H262" s="521" t="s">
        <v>49</v>
      </c>
      <c r="I262" s="522" t="s">
        <v>34</v>
      </c>
      <c r="J262" s="1023" t="s">
        <v>1561</v>
      </c>
      <c r="K262" s="522"/>
      <c r="L262" s="523">
        <v>43199</v>
      </c>
      <c r="M262" s="523"/>
      <c r="N262" s="523"/>
      <c r="O262" s="523">
        <v>43318</v>
      </c>
      <c r="P262" s="524">
        <v>5</v>
      </c>
      <c r="Q262" s="769">
        <v>5</v>
      </c>
      <c r="R262" s="525">
        <v>470000</v>
      </c>
      <c r="S262" s="790" t="s">
        <v>1508</v>
      </c>
      <c r="T262" s="527" t="s">
        <v>54</v>
      </c>
      <c r="U262" s="527"/>
      <c r="V262" s="527"/>
      <c r="W262" s="521" t="s">
        <v>875</v>
      </c>
      <c r="X262" s="114"/>
      <c r="Y262" s="821"/>
      <c r="Z262" s="114"/>
      <c r="AA262" s="114"/>
      <c r="AB262" s="114"/>
      <c r="AC262" s="114"/>
      <c r="AD262" s="303"/>
      <c r="AE262" s="114"/>
      <c r="AF262" s="1360"/>
      <c r="AG262" s="1360"/>
      <c r="AH262" s="1360"/>
      <c r="AI262" s="1360"/>
      <c r="AJ262" s="1360"/>
      <c r="AK262" s="1360"/>
      <c r="AL262" s="1360"/>
      <c r="AM262" s="1360"/>
      <c r="AN262" s="1360"/>
      <c r="AO262" s="1360"/>
      <c r="AP262" s="1360"/>
      <c r="AQ262" s="1360"/>
      <c r="AR262" s="1360"/>
      <c r="AS262" s="1360"/>
      <c r="AT262" s="1360"/>
      <c r="AU262" s="1360"/>
      <c r="AV262" s="1360"/>
      <c r="AW262" s="1360"/>
      <c r="AX262" s="1360"/>
      <c r="AY262" s="1360"/>
    </row>
    <row r="263" spans="1:51" s="282" customFormat="1" ht="57.6">
      <c r="A263" s="888"/>
      <c r="B263" s="260" t="s">
        <v>28</v>
      </c>
      <c r="C263" s="4" t="s">
        <v>2911</v>
      </c>
      <c r="D263" s="112" t="s">
        <v>29</v>
      </c>
      <c r="E263" s="112"/>
      <c r="F263" s="112"/>
      <c r="G263" s="112"/>
      <c r="H263" s="5" t="s">
        <v>171</v>
      </c>
      <c r="I263" s="12" t="s">
        <v>34</v>
      </c>
      <c r="J263" s="16" t="s">
        <v>2912</v>
      </c>
      <c r="K263" s="16"/>
      <c r="L263" s="16"/>
      <c r="M263" s="176">
        <v>43251</v>
      </c>
      <c r="N263" s="176"/>
      <c r="O263" s="176">
        <v>43325</v>
      </c>
      <c r="P263" s="12">
        <v>3</v>
      </c>
      <c r="Q263" s="25" t="s">
        <v>2913</v>
      </c>
      <c r="R263" s="18">
        <v>20000</v>
      </c>
      <c r="S263" s="30" t="s">
        <v>163</v>
      </c>
      <c r="T263" s="12" t="s">
        <v>54</v>
      </c>
      <c r="U263" s="4"/>
      <c r="V263" s="4"/>
      <c r="W263" s="12" t="s">
        <v>1111</v>
      </c>
      <c r="X263" s="5" t="s">
        <v>2914</v>
      </c>
      <c r="Y263" s="5" t="s">
        <v>457</v>
      </c>
      <c r="Z263" s="5"/>
      <c r="AA263" s="5"/>
      <c r="AB263" s="193">
        <v>43332</v>
      </c>
      <c r="AC263" s="35" t="s">
        <v>2915</v>
      </c>
      <c r="AD263" s="141"/>
      <c r="AE263" s="17"/>
      <c r="AF263" s="1360"/>
      <c r="AG263" s="1360"/>
      <c r="AH263" s="1360"/>
      <c r="AI263" s="1360"/>
      <c r="AJ263" s="1360"/>
      <c r="AK263" s="1360"/>
      <c r="AL263" s="1360"/>
      <c r="AM263" s="1360"/>
      <c r="AN263" s="1360"/>
      <c r="AO263" s="1360"/>
      <c r="AP263" s="1360"/>
      <c r="AQ263" s="1360"/>
      <c r="AR263" s="1360"/>
      <c r="AS263" s="1360"/>
      <c r="AT263" s="1360"/>
      <c r="AU263" s="1360"/>
      <c r="AV263" s="1360"/>
      <c r="AW263" s="1360"/>
      <c r="AX263" s="1360"/>
      <c r="AY263" s="1360"/>
    </row>
    <row r="264" spans="1:51" s="282" customFormat="1" ht="57.6">
      <c r="A264" s="888"/>
      <c r="B264" s="278" t="s">
        <v>28</v>
      </c>
      <c r="C264" s="267" t="s">
        <v>2911</v>
      </c>
      <c r="D264" s="461" t="s">
        <v>29</v>
      </c>
      <c r="E264" s="461"/>
      <c r="F264" s="461"/>
      <c r="G264" s="461"/>
      <c r="H264" s="68" t="s">
        <v>171</v>
      </c>
      <c r="I264" s="264" t="s">
        <v>34</v>
      </c>
      <c r="J264" s="268" t="s">
        <v>2912</v>
      </c>
      <c r="K264" s="268"/>
      <c r="L264" s="268"/>
      <c r="M264" s="176">
        <v>43251</v>
      </c>
      <c r="N264" s="275"/>
      <c r="O264" s="275">
        <v>43325</v>
      </c>
      <c r="P264" s="264">
        <v>3</v>
      </c>
      <c r="Q264" s="292" t="s">
        <v>2913</v>
      </c>
      <c r="R264" s="269">
        <v>20000</v>
      </c>
      <c r="S264" s="263" t="s">
        <v>163</v>
      </c>
      <c r="T264" s="265" t="s">
        <v>54</v>
      </c>
      <c r="U264" s="267"/>
      <c r="V264" s="267"/>
      <c r="W264" s="264" t="s">
        <v>1111</v>
      </c>
      <c r="X264" s="68" t="s">
        <v>2914</v>
      </c>
      <c r="Y264" s="68" t="s">
        <v>457</v>
      </c>
      <c r="Z264" s="68"/>
      <c r="AA264" s="68"/>
      <c r="AB264" s="193">
        <v>43332</v>
      </c>
      <c r="AC264" s="849" t="s">
        <v>2915</v>
      </c>
      <c r="AD264" s="734"/>
      <c r="AE264" s="464"/>
      <c r="AF264" s="1360"/>
      <c r="AG264" s="1360"/>
      <c r="AH264" s="1360"/>
      <c r="AI264" s="1360"/>
      <c r="AJ264" s="1360"/>
      <c r="AK264" s="1360"/>
      <c r="AL264" s="1360"/>
      <c r="AM264" s="1360"/>
      <c r="AN264" s="1360"/>
      <c r="AO264" s="1360"/>
      <c r="AP264" s="1360"/>
      <c r="AQ264" s="1360"/>
      <c r="AR264" s="1360"/>
      <c r="AS264" s="1360"/>
      <c r="AT264" s="1360"/>
      <c r="AU264" s="1360"/>
      <c r="AV264" s="1360"/>
      <c r="AW264" s="1360"/>
      <c r="AX264" s="1360"/>
      <c r="AY264" s="1360"/>
    </row>
    <row r="265" spans="1:51" s="282" customFormat="1" ht="41.4">
      <c r="A265" s="852"/>
      <c r="B265" s="714" t="s">
        <v>48</v>
      </c>
      <c r="C265" s="536" t="s">
        <v>1595</v>
      </c>
      <c r="D265" s="727" t="s">
        <v>60</v>
      </c>
      <c r="E265" s="727"/>
      <c r="F265" s="727"/>
      <c r="G265" s="727"/>
      <c r="H265" s="521" t="s">
        <v>49</v>
      </c>
      <c r="I265" s="522" t="s">
        <v>34</v>
      </c>
      <c r="J265" s="537" t="s">
        <v>1596</v>
      </c>
      <c r="K265" s="537"/>
      <c r="L265" s="535">
        <v>43298</v>
      </c>
      <c r="M265" s="535"/>
      <c r="N265" s="535"/>
      <c r="O265" s="523">
        <v>43325</v>
      </c>
      <c r="P265" s="524">
        <v>1</v>
      </c>
      <c r="Q265" s="769">
        <v>1</v>
      </c>
      <c r="R265" s="525">
        <v>15000</v>
      </c>
      <c r="S265" s="797" t="s">
        <v>1407</v>
      </c>
      <c r="T265" s="527" t="s">
        <v>54</v>
      </c>
      <c r="U265" s="527"/>
      <c r="V265" s="527"/>
      <c r="W265" s="521" t="s">
        <v>1597</v>
      </c>
      <c r="X265" s="114"/>
      <c r="Y265" s="114"/>
      <c r="Z265" s="114"/>
      <c r="AA265" s="114"/>
      <c r="AB265" s="114"/>
      <c r="AC265" s="297"/>
      <c r="AD265" s="303"/>
      <c r="AE265" s="114"/>
      <c r="AF265" s="3"/>
      <c r="AG265" s="1360"/>
      <c r="AH265" s="1360"/>
      <c r="AI265" s="1360"/>
      <c r="AJ265" s="1360"/>
      <c r="AK265" s="1360"/>
      <c r="AL265" s="1360"/>
      <c r="AM265" s="1360"/>
      <c r="AN265" s="1360"/>
      <c r="AO265" s="1360"/>
      <c r="AP265" s="1360"/>
      <c r="AQ265" s="1360"/>
      <c r="AR265" s="1360"/>
      <c r="AS265" s="1360"/>
      <c r="AT265" s="1360"/>
      <c r="AU265" s="1360"/>
      <c r="AV265" s="1360"/>
      <c r="AW265" s="1360"/>
      <c r="AX265" s="1360"/>
      <c r="AY265" s="1360"/>
    </row>
    <row r="266" spans="1:51" s="1" customFormat="1" ht="39.6">
      <c r="A266" s="852"/>
      <c r="B266" s="714" t="s">
        <v>48</v>
      </c>
      <c r="C266" s="465" t="s">
        <v>1670</v>
      </c>
      <c r="D266" s="554" t="s">
        <v>29</v>
      </c>
      <c r="E266" s="554"/>
      <c r="F266" s="554"/>
      <c r="G266" s="554"/>
      <c r="H266" s="466" t="s">
        <v>49</v>
      </c>
      <c r="I266" s="474" t="s">
        <v>34</v>
      </c>
      <c r="J266" s="1024" t="s">
        <v>1671</v>
      </c>
      <c r="K266" s="467"/>
      <c r="L266" s="540" t="s">
        <v>1266</v>
      </c>
      <c r="M266" s="540"/>
      <c r="N266" s="540"/>
      <c r="O266" s="540">
        <v>43325</v>
      </c>
      <c r="P266" s="471">
        <v>6</v>
      </c>
      <c r="Q266" s="471">
        <v>6</v>
      </c>
      <c r="R266" s="542">
        <v>1990000</v>
      </c>
      <c r="S266" s="791" t="s">
        <v>1663</v>
      </c>
      <c r="T266" s="470" t="s">
        <v>54</v>
      </c>
      <c r="U266" s="470"/>
      <c r="V266" s="470"/>
      <c r="W266" s="474" t="s">
        <v>406</v>
      </c>
      <c r="X266" s="114"/>
      <c r="Y266" s="114"/>
      <c r="Z266" s="114"/>
      <c r="AA266" s="114"/>
      <c r="AB266" s="114"/>
      <c r="AC266" s="114"/>
      <c r="AD266" s="303"/>
      <c r="AE266" s="114"/>
      <c r="AF266" s="1357"/>
    </row>
    <row r="267" spans="1:51" s="1" customFormat="1" ht="39.6">
      <c r="A267" s="852"/>
      <c r="B267" s="714" t="s">
        <v>48</v>
      </c>
      <c r="C267" s="465" t="s">
        <v>1673</v>
      </c>
      <c r="D267" s="554" t="s">
        <v>29</v>
      </c>
      <c r="E267" s="554"/>
      <c r="F267" s="554"/>
      <c r="G267" s="554"/>
      <c r="H267" s="466" t="s">
        <v>49</v>
      </c>
      <c r="I267" s="474" t="s">
        <v>34</v>
      </c>
      <c r="J267" s="1024" t="s">
        <v>1674</v>
      </c>
      <c r="K267" s="467"/>
      <c r="L267" s="540" t="s">
        <v>1266</v>
      </c>
      <c r="M267" s="540"/>
      <c r="N267" s="540"/>
      <c r="O267" s="540">
        <v>43325</v>
      </c>
      <c r="P267" s="471">
        <v>6</v>
      </c>
      <c r="Q267" s="761">
        <v>6</v>
      </c>
      <c r="R267" s="542">
        <v>1154000</v>
      </c>
      <c r="S267" s="791" t="s">
        <v>1663</v>
      </c>
      <c r="T267" s="470" t="s">
        <v>54</v>
      </c>
      <c r="U267" s="470"/>
      <c r="V267" s="470"/>
      <c r="W267" s="474" t="s">
        <v>406</v>
      </c>
      <c r="X267" s="114"/>
      <c r="Y267" s="821"/>
      <c r="Z267" s="114"/>
      <c r="AA267" s="114"/>
      <c r="AB267" s="114"/>
      <c r="AC267" s="114"/>
      <c r="AD267" s="303"/>
      <c r="AE267" s="114"/>
      <c r="AF267" s="1357"/>
    </row>
    <row r="268" spans="1:51" s="1" customFormat="1" ht="57.6">
      <c r="A268" s="889"/>
      <c r="B268" s="260" t="s">
        <v>28</v>
      </c>
      <c r="C268" s="4"/>
      <c r="D268" s="112" t="s">
        <v>29</v>
      </c>
      <c r="E268" s="112"/>
      <c r="F268" s="112"/>
      <c r="G268" s="112"/>
      <c r="H268" s="5" t="s">
        <v>171</v>
      </c>
      <c r="I268" s="12" t="s">
        <v>34</v>
      </c>
      <c r="J268" s="16" t="s">
        <v>2916</v>
      </c>
      <c r="K268" s="16"/>
      <c r="L268" s="16"/>
      <c r="M268" s="176">
        <v>43101</v>
      </c>
      <c r="N268" s="176"/>
      <c r="O268" s="176">
        <v>43332</v>
      </c>
      <c r="P268" s="12">
        <v>56</v>
      </c>
      <c r="Q268" s="27" t="s">
        <v>2917</v>
      </c>
      <c r="R268" s="18">
        <v>125000</v>
      </c>
      <c r="S268" s="30" t="s">
        <v>163</v>
      </c>
      <c r="T268" s="12" t="s">
        <v>54</v>
      </c>
      <c r="U268" s="4"/>
      <c r="V268" s="4"/>
      <c r="W268" s="5" t="s">
        <v>2918</v>
      </c>
      <c r="X268" s="5" t="s">
        <v>2919</v>
      </c>
      <c r="Y268" s="68" t="s">
        <v>457</v>
      </c>
      <c r="Z268" s="5"/>
      <c r="AA268" s="5"/>
      <c r="AB268" s="193">
        <v>43332</v>
      </c>
      <c r="AC268" s="8" t="s">
        <v>2920</v>
      </c>
      <c r="AD268" s="141"/>
      <c r="AE268" s="17"/>
    </row>
    <row r="269" spans="1:51" s="1" customFormat="1" ht="82.8">
      <c r="A269" s="852"/>
      <c r="B269" s="714" t="s">
        <v>48</v>
      </c>
      <c r="C269" s="538" t="s">
        <v>1601</v>
      </c>
      <c r="D269" s="727" t="s">
        <v>60</v>
      </c>
      <c r="E269" s="727"/>
      <c r="F269" s="727"/>
      <c r="G269" s="727"/>
      <c r="H269" s="521" t="s">
        <v>49</v>
      </c>
      <c r="I269" s="522" t="s">
        <v>34</v>
      </c>
      <c r="J269" s="537" t="s">
        <v>1602</v>
      </c>
      <c r="K269" s="537"/>
      <c r="L269" s="535">
        <v>43298</v>
      </c>
      <c r="M269" s="535"/>
      <c r="N269" s="535"/>
      <c r="O269" s="523">
        <v>43332</v>
      </c>
      <c r="P269" s="524">
        <v>1</v>
      </c>
      <c r="Q269" s="524">
        <v>1</v>
      </c>
      <c r="R269" s="539">
        <v>15000</v>
      </c>
      <c r="S269" s="526" t="s">
        <v>1397</v>
      </c>
      <c r="T269" s="527" t="s">
        <v>54</v>
      </c>
      <c r="U269" s="527"/>
      <c r="V269" s="527"/>
      <c r="W269" s="521" t="s">
        <v>1603</v>
      </c>
      <c r="X269" s="114"/>
      <c r="Y269" s="114"/>
      <c r="Z269" s="114"/>
      <c r="AA269" s="114"/>
      <c r="AB269" s="114"/>
      <c r="AC269" s="114"/>
      <c r="AD269" s="303"/>
      <c r="AE269" s="114"/>
      <c r="AF269" s="1357"/>
    </row>
    <row r="270" spans="1:51" s="281" customFormat="1" ht="84.6" customHeight="1">
      <c r="A270" s="888"/>
      <c r="B270" s="260" t="s">
        <v>28</v>
      </c>
      <c r="C270" s="4"/>
      <c r="D270" s="112" t="s">
        <v>29</v>
      </c>
      <c r="E270" s="112"/>
      <c r="F270" s="112"/>
      <c r="G270" s="112"/>
      <c r="H270" s="5" t="s">
        <v>70</v>
      </c>
      <c r="I270" s="5" t="s">
        <v>34</v>
      </c>
      <c r="J270" s="16" t="s">
        <v>328</v>
      </c>
      <c r="K270" s="16"/>
      <c r="L270" s="16"/>
      <c r="M270" s="193">
        <v>43191</v>
      </c>
      <c r="N270" s="193"/>
      <c r="O270" s="176">
        <v>43336</v>
      </c>
      <c r="P270" s="5">
        <v>24</v>
      </c>
      <c r="Q270" s="5">
        <v>24</v>
      </c>
      <c r="R270" s="18">
        <v>45612</v>
      </c>
      <c r="S270" s="30" t="s">
        <v>109</v>
      </c>
      <c r="T270" s="5" t="s">
        <v>54</v>
      </c>
      <c r="U270" s="4"/>
      <c r="V270" s="4"/>
      <c r="W270" s="5" t="s">
        <v>2921</v>
      </c>
      <c r="X270" s="5" t="s">
        <v>1091</v>
      </c>
      <c r="Y270" s="5" t="s">
        <v>457</v>
      </c>
      <c r="Z270" s="5"/>
      <c r="AA270" s="5"/>
      <c r="AB270" s="193">
        <v>43536</v>
      </c>
      <c r="AC270" s="8" t="s">
        <v>2922</v>
      </c>
      <c r="AD270" s="141"/>
      <c r="AE270" s="39">
        <v>22806</v>
      </c>
      <c r="AF270" s="1360"/>
      <c r="AG270" s="1357"/>
      <c r="AH270" s="1357"/>
      <c r="AI270" s="1357"/>
      <c r="AJ270" s="1357"/>
      <c r="AK270" s="1357"/>
      <c r="AL270" s="1357"/>
      <c r="AM270" s="1357"/>
      <c r="AN270" s="1357"/>
      <c r="AO270" s="1357"/>
      <c r="AP270" s="1357"/>
      <c r="AQ270" s="1357"/>
      <c r="AR270" s="1357"/>
      <c r="AS270" s="1357"/>
      <c r="AT270" s="1357"/>
      <c r="AU270" s="1357"/>
      <c r="AV270" s="1357"/>
      <c r="AW270" s="1357"/>
      <c r="AX270" s="1357"/>
      <c r="AY270" s="1357"/>
    </row>
    <row r="271" spans="1:51" s="282" customFormat="1" ht="28.8">
      <c r="A271" s="888"/>
      <c r="B271" s="260" t="s">
        <v>28</v>
      </c>
      <c r="C271" s="4"/>
      <c r="D271" s="112" t="s">
        <v>29</v>
      </c>
      <c r="E271" s="112"/>
      <c r="F271" s="112"/>
      <c r="G271" s="112"/>
      <c r="H271" s="5" t="s">
        <v>70</v>
      </c>
      <c r="I271" s="5" t="s">
        <v>34</v>
      </c>
      <c r="J271" s="16" t="s">
        <v>449</v>
      </c>
      <c r="K271" s="8"/>
      <c r="L271" s="8"/>
      <c r="M271" s="14">
        <v>43160</v>
      </c>
      <c r="N271" s="14"/>
      <c r="O271" s="14">
        <v>43343</v>
      </c>
      <c r="P271" s="12">
        <v>12</v>
      </c>
      <c r="Q271" s="26" t="s">
        <v>108</v>
      </c>
      <c r="R271" s="18">
        <v>45000</v>
      </c>
      <c r="S271" s="30" t="s">
        <v>2615</v>
      </c>
      <c r="T271" s="155" t="s">
        <v>54</v>
      </c>
      <c r="U271" s="4"/>
      <c r="V271" s="4"/>
      <c r="W271" s="5" t="s">
        <v>390</v>
      </c>
      <c r="X271" s="5" t="s">
        <v>1536</v>
      </c>
      <c r="Y271" s="5" t="s">
        <v>457</v>
      </c>
      <c r="Z271" s="5"/>
      <c r="AA271" s="5"/>
      <c r="AB271" s="193">
        <v>43312</v>
      </c>
      <c r="AC271" s="35" t="s">
        <v>2923</v>
      </c>
      <c r="AD271" s="141"/>
      <c r="AE271" s="79"/>
      <c r="AF271" s="1360"/>
      <c r="AG271" s="1360"/>
      <c r="AH271" s="1360"/>
      <c r="AI271" s="1360"/>
      <c r="AJ271" s="1360"/>
      <c r="AK271" s="1360"/>
      <c r="AL271" s="1360"/>
      <c r="AM271" s="1360"/>
      <c r="AN271" s="1360"/>
      <c r="AO271" s="1360"/>
      <c r="AP271" s="1360"/>
      <c r="AQ271" s="1360"/>
      <c r="AR271" s="1360"/>
      <c r="AS271" s="1360"/>
      <c r="AT271" s="1360"/>
      <c r="AU271" s="1360"/>
      <c r="AV271" s="1360"/>
      <c r="AW271" s="1360"/>
      <c r="AX271" s="1360"/>
      <c r="AY271" s="1360"/>
    </row>
    <row r="272" spans="1:51" s="281" customFormat="1" ht="42" customHeight="1">
      <c r="A272" s="889"/>
      <c r="B272" s="260" t="s">
        <v>28</v>
      </c>
      <c r="C272" s="4"/>
      <c r="D272" s="112" t="s">
        <v>29</v>
      </c>
      <c r="E272" s="112"/>
      <c r="F272" s="112"/>
      <c r="G272" s="112"/>
      <c r="H272" s="5" t="s">
        <v>70</v>
      </c>
      <c r="I272" s="5" t="s">
        <v>34</v>
      </c>
      <c r="J272" s="16" t="s">
        <v>786</v>
      </c>
      <c r="K272" s="16"/>
      <c r="L272" s="16"/>
      <c r="M272" s="176">
        <v>42705</v>
      </c>
      <c r="N272" s="176"/>
      <c r="O272" s="176">
        <v>43344</v>
      </c>
      <c r="P272" s="12">
        <v>60</v>
      </c>
      <c r="Q272" s="25" t="s">
        <v>2924</v>
      </c>
      <c r="R272" s="18">
        <v>7347666.2000000002</v>
      </c>
      <c r="S272" s="30" t="s">
        <v>1163</v>
      </c>
      <c r="T272" s="12" t="s">
        <v>41</v>
      </c>
      <c r="U272" s="4"/>
      <c r="V272" s="4"/>
      <c r="W272" s="5" t="s">
        <v>2925</v>
      </c>
      <c r="X272" s="5" t="s">
        <v>1091</v>
      </c>
      <c r="Y272" s="5" t="s">
        <v>457</v>
      </c>
      <c r="Z272" s="5"/>
      <c r="AA272" s="8"/>
      <c r="AB272" s="193">
        <v>43475</v>
      </c>
      <c r="AC272" s="8" t="s">
        <v>2926</v>
      </c>
      <c r="AD272" s="141"/>
      <c r="AE272" s="38">
        <v>1469533.24</v>
      </c>
      <c r="AF272" s="1"/>
      <c r="AG272" s="1357"/>
      <c r="AH272" s="1357"/>
      <c r="AI272" s="1357"/>
      <c r="AJ272" s="1357"/>
      <c r="AK272" s="1357"/>
      <c r="AL272" s="1357"/>
      <c r="AM272" s="1357"/>
      <c r="AN272" s="1357"/>
      <c r="AO272" s="1357"/>
      <c r="AP272" s="1357"/>
      <c r="AQ272" s="1357"/>
      <c r="AR272" s="1357"/>
      <c r="AS272" s="1357"/>
      <c r="AT272" s="1357"/>
      <c r="AU272" s="1357"/>
      <c r="AV272" s="1357"/>
      <c r="AW272" s="1357"/>
      <c r="AX272" s="1357"/>
      <c r="AY272" s="1357"/>
    </row>
    <row r="273" spans="1:51" s="282" customFormat="1" ht="28.8">
      <c r="A273" s="852"/>
      <c r="B273" s="260" t="s">
        <v>28</v>
      </c>
      <c r="C273" s="4"/>
      <c r="D273" s="112" t="s">
        <v>82</v>
      </c>
      <c r="E273" s="112"/>
      <c r="F273" s="112"/>
      <c r="G273" s="112"/>
      <c r="H273" s="12" t="s">
        <v>70</v>
      </c>
      <c r="I273" s="12" t="s">
        <v>64</v>
      </c>
      <c r="J273" s="97" t="s">
        <v>1051</v>
      </c>
      <c r="K273" s="97"/>
      <c r="L273" s="97"/>
      <c r="M273" s="176">
        <v>42979</v>
      </c>
      <c r="N273" s="176"/>
      <c r="O273" s="176">
        <v>43344</v>
      </c>
      <c r="P273" s="12">
        <v>12</v>
      </c>
      <c r="Q273" s="7" t="s">
        <v>108</v>
      </c>
      <c r="R273" s="18" t="s">
        <v>35</v>
      </c>
      <c r="S273" s="30" t="s">
        <v>1195</v>
      </c>
      <c r="T273" s="12" t="s">
        <v>54</v>
      </c>
      <c r="U273" s="4"/>
      <c r="V273" s="4"/>
      <c r="W273" s="12" t="s">
        <v>286</v>
      </c>
      <c r="X273" s="12" t="s">
        <v>2788</v>
      </c>
      <c r="Y273" s="5" t="s">
        <v>457</v>
      </c>
      <c r="Z273" s="5"/>
      <c r="AA273" s="26"/>
      <c r="AB273" s="7"/>
      <c r="AC273" s="8" t="s">
        <v>2927</v>
      </c>
      <c r="AD273" s="141"/>
      <c r="AE273" s="17"/>
      <c r="AF273" s="1357"/>
      <c r="AG273" s="1360"/>
      <c r="AH273" s="1360"/>
      <c r="AI273" s="1360"/>
      <c r="AJ273" s="1360"/>
      <c r="AK273" s="1360"/>
      <c r="AL273" s="1360"/>
      <c r="AM273" s="1360"/>
      <c r="AN273" s="1360"/>
      <c r="AO273" s="1360"/>
      <c r="AP273" s="1360"/>
      <c r="AQ273" s="1360"/>
      <c r="AR273" s="1360"/>
      <c r="AS273" s="1360"/>
      <c r="AT273" s="1360"/>
      <c r="AU273" s="1360"/>
      <c r="AV273" s="1360"/>
      <c r="AW273" s="1360"/>
      <c r="AX273" s="1360"/>
      <c r="AY273" s="1360"/>
    </row>
    <row r="274" spans="1:51" s="281" customFormat="1" ht="79.5" customHeight="1">
      <c r="A274" s="454"/>
      <c r="B274" s="260" t="s">
        <v>28</v>
      </c>
      <c r="C274" s="4"/>
      <c r="D274" s="112" t="s">
        <v>29</v>
      </c>
      <c r="E274" s="112"/>
      <c r="F274" s="112"/>
      <c r="G274" s="112"/>
      <c r="H274" s="5" t="s">
        <v>70</v>
      </c>
      <c r="I274" s="5" t="s">
        <v>34</v>
      </c>
      <c r="J274" s="16" t="s">
        <v>139</v>
      </c>
      <c r="K274" s="8"/>
      <c r="L274" s="8"/>
      <c r="M274" s="176">
        <v>42979</v>
      </c>
      <c r="N274" s="176"/>
      <c r="O274" s="176">
        <v>43344</v>
      </c>
      <c r="P274" s="12">
        <v>108</v>
      </c>
      <c r="Q274" s="28" t="s">
        <v>2928</v>
      </c>
      <c r="R274" s="18">
        <v>900000</v>
      </c>
      <c r="S274" s="30" t="s">
        <v>98</v>
      </c>
      <c r="T274" s="12" t="s">
        <v>54</v>
      </c>
      <c r="U274" s="4"/>
      <c r="V274" s="4"/>
      <c r="W274" s="5" t="s">
        <v>140</v>
      </c>
      <c r="X274" s="5" t="s">
        <v>1536</v>
      </c>
      <c r="Y274" s="5" t="s">
        <v>457</v>
      </c>
      <c r="Z274" s="5"/>
      <c r="AA274" s="5"/>
      <c r="AB274" s="7"/>
      <c r="AC274" s="8" t="s">
        <v>2929</v>
      </c>
      <c r="AD274" s="141"/>
      <c r="AE274" s="17">
        <v>128000</v>
      </c>
      <c r="AF274" s="1357"/>
      <c r="AG274" s="1357"/>
      <c r="AH274" s="1357"/>
      <c r="AI274" s="1357"/>
      <c r="AJ274" s="1357"/>
      <c r="AK274" s="1357"/>
      <c r="AL274" s="1357"/>
      <c r="AM274" s="1357"/>
      <c r="AN274" s="1357"/>
      <c r="AO274" s="1357"/>
      <c r="AP274" s="1357"/>
      <c r="AQ274" s="1357"/>
      <c r="AR274" s="1357"/>
      <c r="AS274" s="1357"/>
      <c r="AT274" s="1357"/>
      <c r="AU274" s="1357"/>
      <c r="AV274" s="1357"/>
      <c r="AW274" s="1357"/>
      <c r="AX274" s="1357"/>
      <c r="AY274" s="1357"/>
    </row>
    <row r="275" spans="1:51" s="282" customFormat="1" ht="28.8">
      <c r="A275" s="887"/>
      <c r="B275" s="260" t="s">
        <v>28</v>
      </c>
      <c r="C275" s="4"/>
      <c r="D275" s="112" t="s">
        <v>29</v>
      </c>
      <c r="E275" s="112"/>
      <c r="F275" s="112"/>
      <c r="G275" s="112"/>
      <c r="H275" s="5" t="s">
        <v>70</v>
      </c>
      <c r="I275" s="5" t="s">
        <v>34</v>
      </c>
      <c r="J275" s="16" t="s">
        <v>2930</v>
      </c>
      <c r="K275" s="16"/>
      <c r="L275" s="16"/>
      <c r="M275" s="176">
        <v>43066</v>
      </c>
      <c r="N275" s="176"/>
      <c r="O275" s="176">
        <v>43344</v>
      </c>
      <c r="P275" s="12">
        <v>36</v>
      </c>
      <c r="Q275" s="25" t="s">
        <v>488</v>
      </c>
      <c r="R275" s="18">
        <v>18750</v>
      </c>
      <c r="S275" s="30" t="s">
        <v>163</v>
      </c>
      <c r="T275" s="12" t="s">
        <v>54</v>
      </c>
      <c r="U275" s="4"/>
      <c r="V275" s="4"/>
      <c r="W275" s="5" t="s">
        <v>113</v>
      </c>
      <c r="X275" s="5" t="s">
        <v>1536</v>
      </c>
      <c r="Y275" s="5" t="s">
        <v>457</v>
      </c>
      <c r="Z275" s="5"/>
      <c r="AA275" s="5"/>
      <c r="AB275" s="193">
        <v>43353</v>
      </c>
      <c r="AC275" s="8" t="s">
        <v>2931</v>
      </c>
      <c r="AD275" s="141"/>
      <c r="AE275" s="17"/>
      <c r="AF275" s="1357"/>
      <c r="AG275" s="1360"/>
      <c r="AH275" s="1360"/>
      <c r="AI275" s="1360"/>
      <c r="AJ275" s="1360"/>
      <c r="AK275" s="1360"/>
      <c r="AL275" s="1360"/>
      <c r="AM275" s="1360"/>
      <c r="AN275" s="1360"/>
      <c r="AO275" s="1360"/>
      <c r="AP275" s="1360"/>
      <c r="AQ275" s="1360"/>
      <c r="AR275" s="1360"/>
      <c r="AS275" s="1360"/>
      <c r="AT275" s="1360"/>
      <c r="AU275" s="1360"/>
      <c r="AV275" s="1360"/>
      <c r="AW275" s="1360"/>
      <c r="AX275" s="1360"/>
      <c r="AY275" s="1360"/>
    </row>
    <row r="276" spans="1:51" s="282" customFormat="1" ht="15.6">
      <c r="A276" s="852"/>
      <c r="B276" s="260" t="s">
        <v>28</v>
      </c>
      <c r="C276" s="4"/>
      <c r="D276" s="1379" t="s">
        <v>82</v>
      </c>
      <c r="E276" s="1379"/>
      <c r="F276" s="1379"/>
      <c r="G276" s="1379"/>
      <c r="H276" s="1330" t="s">
        <v>364</v>
      </c>
      <c r="I276" s="1347" t="s">
        <v>723</v>
      </c>
      <c r="J276" s="16" t="s">
        <v>2932</v>
      </c>
      <c r="K276" s="16"/>
      <c r="L276" s="16"/>
      <c r="M276" s="176">
        <v>43101</v>
      </c>
      <c r="N276" s="176"/>
      <c r="O276" s="176">
        <v>43344</v>
      </c>
      <c r="P276" s="12">
        <v>24</v>
      </c>
      <c r="Q276" s="25">
        <v>24</v>
      </c>
      <c r="R276" s="18">
        <v>58600</v>
      </c>
      <c r="S276" s="30" t="s">
        <v>723</v>
      </c>
      <c r="T276" s="1347" t="s">
        <v>54</v>
      </c>
      <c r="U276" s="4"/>
      <c r="V276" s="4"/>
      <c r="W276" s="1347" t="s">
        <v>2933</v>
      </c>
      <c r="X276" s="1347" t="s">
        <v>219</v>
      </c>
      <c r="Y276" s="5" t="s">
        <v>457</v>
      </c>
      <c r="Z276" s="5"/>
      <c r="AA276" s="1382"/>
      <c r="AB276" s="1347"/>
      <c r="AC276" s="1347" t="s">
        <v>2934</v>
      </c>
      <c r="AD276" s="1379"/>
      <c r="AE276" s="1347"/>
      <c r="AF276" s="1357"/>
      <c r="AG276" s="1360"/>
      <c r="AH276" s="1360"/>
      <c r="AI276" s="1360"/>
      <c r="AJ276" s="1360"/>
      <c r="AK276" s="1360"/>
      <c r="AL276" s="1360"/>
      <c r="AM276" s="1360"/>
      <c r="AN276" s="1360"/>
      <c r="AO276" s="1360"/>
      <c r="AP276" s="1360"/>
      <c r="AQ276" s="1360"/>
      <c r="AR276" s="1360"/>
      <c r="AS276" s="1360"/>
      <c r="AT276" s="1360"/>
      <c r="AU276" s="1360"/>
      <c r="AV276" s="1360"/>
      <c r="AW276" s="1360"/>
      <c r="AX276" s="1360"/>
      <c r="AY276" s="1360"/>
    </row>
    <row r="277" spans="1:51" s="282" customFormat="1" ht="43.2">
      <c r="A277" s="852"/>
      <c r="B277" s="260" t="s">
        <v>28</v>
      </c>
      <c r="C277" s="4"/>
      <c r="D277" s="112" t="s">
        <v>29</v>
      </c>
      <c r="E277" s="112"/>
      <c r="F277" s="112"/>
      <c r="G277" s="112"/>
      <c r="H277" s="5" t="s">
        <v>70</v>
      </c>
      <c r="I277" s="5" t="s">
        <v>34</v>
      </c>
      <c r="J277" s="16" t="s">
        <v>2935</v>
      </c>
      <c r="K277" s="8"/>
      <c r="L277" s="8"/>
      <c r="M277" s="14">
        <v>43101</v>
      </c>
      <c r="N277" s="14"/>
      <c r="O277" s="14">
        <v>43344</v>
      </c>
      <c r="P277" s="12">
        <v>12</v>
      </c>
      <c r="Q277" s="5" t="s">
        <v>108</v>
      </c>
      <c r="R277" s="18">
        <v>15195</v>
      </c>
      <c r="S277" s="30" t="s">
        <v>2615</v>
      </c>
      <c r="T277" s="14" t="s">
        <v>54</v>
      </c>
      <c r="U277" s="4"/>
      <c r="V277" s="4"/>
      <c r="W277" s="5" t="s">
        <v>2616</v>
      </c>
      <c r="X277" s="5" t="s">
        <v>1536</v>
      </c>
      <c r="Y277" s="5" t="s">
        <v>457</v>
      </c>
      <c r="Z277" s="5"/>
      <c r="AA277" s="5"/>
      <c r="AB277" s="193">
        <v>43312</v>
      </c>
      <c r="AC277" s="8" t="s">
        <v>2936</v>
      </c>
      <c r="AD277" s="141"/>
      <c r="AE277" s="79"/>
      <c r="AF277" s="1357"/>
      <c r="AG277" s="1360"/>
      <c r="AH277" s="1360"/>
      <c r="AI277" s="1360"/>
      <c r="AJ277" s="1360"/>
      <c r="AK277" s="1360"/>
      <c r="AL277" s="1360"/>
      <c r="AM277" s="1360"/>
      <c r="AN277" s="1360"/>
      <c r="AO277" s="1360"/>
      <c r="AP277" s="1360"/>
      <c r="AQ277" s="1360"/>
      <c r="AR277" s="1360"/>
      <c r="AS277" s="1360"/>
      <c r="AT277" s="1360"/>
      <c r="AU277" s="1360"/>
      <c r="AV277" s="1360"/>
      <c r="AW277" s="1360"/>
      <c r="AX277" s="1360"/>
      <c r="AY277" s="1360"/>
    </row>
    <row r="278" spans="1:51" s="282" customFormat="1" ht="28.8">
      <c r="A278" s="852"/>
      <c r="B278" s="260" t="s">
        <v>28</v>
      </c>
      <c r="C278" s="4"/>
      <c r="D278" s="112" t="s">
        <v>29</v>
      </c>
      <c r="E278" s="112"/>
      <c r="F278" s="112"/>
      <c r="G278" s="112"/>
      <c r="H278" s="5" t="s">
        <v>70</v>
      </c>
      <c r="I278" s="5" t="s">
        <v>34</v>
      </c>
      <c r="J278" s="16" t="s">
        <v>2937</v>
      </c>
      <c r="K278" s="16"/>
      <c r="L278" s="16"/>
      <c r="M278" s="176">
        <v>43101</v>
      </c>
      <c r="N278" s="176"/>
      <c r="O278" s="176">
        <v>43344</v>
      </c>
      <c r="P278" s="12">
        <v>24</v>
      </c>
      <c r="Q278" s="25" t="s">
        <v>365</v>
      </c>
      <c r="R278" s="18">
        <v>120000</v>
      </c>
      <c r="S278" s="30" t="s">
        <v>163</v>
      </c>
      <c r="T278" s="12" t="s">
        <v>54</v>
      </c>
      <c r="U278" s="4"/>
      <c r="V278" s="4"/>
      <c r="W278" s="5" t="s">
        <v>1140</v>
      </c>
      <c r="X278" s="5" t="s">
        <v>2788</v>
      </c>
      <c r="Y278" s="5" t="s">
        <v>457</v>
      </c>
      <c r="Z278" s="5"/>
      <c r="AA278" s="5"/>
      <c r="AB278" s="193">
        <v>43427</v>
      </c>
      <c r="AC278" s="8" t="s">
        <v>2938</v>
      </c>
      <c r="AD278" s="141"/>
      <c r="AE278" s="39"/>
      <c r="AF278" s="1357"/>
      <c r="AG278" s="1360"/>
      <c r="AH278" s="1360"/>
      <c r="AI278" s="1360"/>
      <c r="AJ278" s="1360"/>
      <c r="AK278" s="1360"/>
      <c r="AL278" s="1360"/>
      <c r="AM278" s="1360"/>
      <c r="AN278" s="1360"/>
      <c r="AO278" s="1360"/>
      <c r="AP278" s="1360"/>
      <c r="AQ278" s="1360"/>
      <c r="AR278" s="1360"/>
      <c r="AS278" s="1360"/>
      <c r="AT278" s="1360"/>
      <c r="AU278" s="1360"/>
      <c r="AV278" s="1360"/>
      <c r="AW278" s="1360"/>
      <c r="AX278" s="1360"/>
      <c r="AY278" s="1360"/>
    </row>
    <row r="279" spans="1:51" s="281" customFormat="1" ht="100.8">
      <c r="A279" s="852"/>
      <c r="B279" s="260" t="s">
        <v>28</v>
      </c>
      <c r="C279" s="4"/>
      <c r="D279" s="112" t="s">
        <v>29</v>
      </c>
      <c r="E279" s="112"/>
      <c r="F279" s="112"/>
      <c r="G279" s="112"/>
      <c r="H279" s="5" t="s">
        <v>70</v>
      </c>
      <c r="I279" s="5" t="s">
        <v>34</v>
      </c>
      <c r="J279" s="16" t="s">
        <v>2939</v>
      </c>
      <c r="K279" s="16"/>
      <c r="L279" s="16"/>
      <c r="M279" s="176">
        <v>43101</v>
      </c>
      <c r="N279" s="176"/>
      <c r="O279" s="176">
        <v>43344</v>
      </c>
      <c r="P279" s="12">
        <v>48</v>
      </c>
      <c r="Q279" s="7" t="s">
        <v>191</v>
      </c>
      <c r="R279" s="18">
        <v>603912</v>
      </c>
      <c r="S279" s="30" t="s">
        <v>109</v>
      </c>
      <c r="T279" s="12" t="s">
        <v>41</v>
      </c>
      <c r="U279" s="4"/>
      <c r="V279" s="4"/>
      <c r="W279" s="5" t="s">
        <v>2940</v>
      </c>
      <c r="X279" s="5" t="s">
        <v>1091</v>
      </c>
      <c r="Y279" s="5" t="s">
        <v>457</v>
      </c>
      <c r="Z279" s="5"/>
      <c r="AA279" s="5"/>
      <c r="AB279" s="193">
        <v>43635</v>
      </c>
      <c r="AC279" s="8" t="s">
        <v>2941</v>
      </c>
      <c r="AD279" s="1379"/>
      <c r="AE279" s="38">
        <v>150348</v>
      </c>
      <c r="AF279" s="1357"/>
      <c r="AG279" s="1357"/>
      <c r="AH279" s="1357"/>
      <c r="AI279" s="1357"/>
      <c r="AJ279" s="1357"/>
      <c r="AK279" s="1357"/>
      <c r="AL279" s="1357"/>
      <c r="AM279" s="1357"/>
      <c r="AN279" s="1357"/>
      <c r="AO279" s="1357"/>
      <c r="AP279" s="1357"/>
      <c r="AQ279" s="1357"/>
      <c r="AR279" s="1357"/>
      <c r="AS279" s="1357"/>
      <c r="AT279" s="1357"/>
      <c r="AU279" s="1357"/>
      <c r="AV279" s="1357"/>
      <c r="AW279" s="1357"/>
      <c r="AX279" s="1357"/>
      <c r="AY279" s="1357"/>
    </row>
    <row r="280" spans="1:51" s="281" customFormat="1" ht="43.2">
      <c r="A280" s="888"/>
      <c r="B280" s="260" t="s">
        <v>28</v>
      </c>
      <c r="C280" s="4"/>
      <c r="D280" s="112" t="s">
        <v>29</v>
      </c>
      <c r="E280" s="112"/>
      <c r="F280" s="112"/>
      <c r="G280" s="112"/>
      <c r="H280" s="5" t="s">
        <v>70</v>
      </c>
      <c r="I280" s="5" t="s">
        <v>34</v>
      </c>
      <c r="J280" s="16" t="s">
        <v>539</v>
      </c>
      <c r="K280" s="16"/>
      <c r="L280" s="16"/>
      <c r="M280" s="176">
        <v>43191</v>
      </c>
      <c r="N280" s="176"/>
      <c r="O280" s="176">
        <v>43344</v>
      </c>
      <c r="P280" s="12">
        <v>36</v>
      </c>
      <c r="Q280" s="7" t="s">
        <v>318</v>
      </c>
      <c r="R280" s="18">
        <v>993867</v>
      </c>
      <c r="S280" s="30" t="s">
        <v>2942</v>
      </c>
      <c r="T280" s="12" t="s">
        <v>41</v>
      </c>
      <c r="U280" s="4"/>
      <c r="V280" s="4"/>
      <c r="W280" s="5" t="s">
        <v>541</v>
      </c>
      <c r="X280" s="5" t="s">
        <v>2638</v>
      </c>
      <c r="Y280" s="5" t="s">
        <v>457</v>
      </c>
      <c r="Z280" s="5"/>
      <c r="AA280" s="5"/>
      <c r="AB280" s="193" t="s">
        <v>2943</v>
      </c>
      <c r="AC280" s="35" t="s">
        <v>2944</v>
      </c>
      <c r="AD280" s="141"/>
      <c r="AE280" s="17">
        <v>331289</v>
      </c>
      <c r="AF280" s="1360"/>
      <c r="AG280" s="1357"/>
      <c r="AH280" s="1357"/>
      <c r="AI280" s="1357"/>
      <c r="AJ280" s="1357"/>
      <c r="AK280" s="1357"/>
      <c r="AL280" s="1357"/>
      <c r="AM280" s="1357"/>
      <c r="AN280" s="1357"/>
      <c r="AO280" s="1357"/>
      <c r="AP280" s="1357"/>
      <c r="AQ280" s="1357"/>
      <c r="AR280" s="1357"/>
      <c r="AS280" s="1357"/>
      <c r="AT280" s="1357"/>
      <c r="AU280" s="1357"/>
      <c r="AV280" s="1357"/>
      <c r="AW280" s="1357"/>
      <c r="AX280" s="1357"/>
      <c r="AY280" s="1357"/>
    </row>
    <row r="281" spans="1:51" s="281" customFormat="1" ht="48.75" customHeight="1">
      <c r="A281" s="888"/>
      <c r="B281" s="260" t="s">
        <v>28</v>
      </c>
      <c r="C281" s="4"/>
      <c r="D281" s="112" t="s">
        <v>29</v>
      </c>
      <c r="E281" s="112"/>
      <c r="F281" s="112"/>
      <c r="G281" s="112"/>
      <c r="H281" s="5" t="s">
        <v>2945</v>
      </c>
      <c r="I281" s="5" t="s">
        <v>34</v>
      </c>
      <c r="J281" s="108" t="s">
        <v>1100</v>
      </c>
      <c r="K281" s="108"/>
      <c r="L281" s="108"/>
      <c r="M281" s="14">
        <v>43290</v>
      </c>
      <c r="N281" s="14"/>
      <c r="O281" s="176">
        <v>43344</v>
      </c>
      <c r="P281" s="12">
        <v>36</v>
      </c>
      <c r="Q281" s="27">
        <v>36</v>
      </c>
      <c r="R281" s="18">
        <v>16357</v>
      </c>
      <c r="S281" s="30" t="s">
        <v>1412</v>
      </c>
      <c r="T281" s="12" t="s">
        <v>54</v>
      </c>
      <c r="U281" s="4"/>
      <c r="V281" s="4"/>
      <c r="W281" s="5" t="s">
        <v>2946</v>
      </c>
      <c r="X281" s="5" t="s">
        <v>219</v>
      </c>
      <c r="Y281" s="5" t="s">
        <v>457</v>
      </c>
      <c r="Z281" s="5"/>
      <c r="AA281" s="5"/>
      <c r="AB281" s="193">
        <v>43655</v>
      </c>
      <c r="AC281" s="8" t="s">
        <v>2947</v>
      </c>
      <c r="AD281" s="141"/>
      <c r="AE281" s="17">
        <v>5452.33</v>
      </c>
      <c r="AF281" s="1360"/>
      <c r="AG281" s="1357"/>
      <c r="AH281" s="1357"/>
      <c r="AI281" s="1357"/>
      <c r="AJ281" s="1357"/>
      <c r="AK281" s="1357"/>
      <c r="AL281" s="1357"/>
      <c r="AM281" s="1357"/>
      <c r="AN281" s="1357"/>
      <c r="AO281" s="1357"/>
      <c r="AP281" s="1357"/>
      <c r="AQ281" s="1357"/>
      <c r="AR281" s="1357"/>
      <c r="AS281" s="1357"/>
      <c r="AT281" s="1357"/>
      <c r="AU281" s="1357"/>
      <c r="AV281" s="1357"/>
      <c r="AW281" s="1357"/>
      <c r="AX281" s="1357"/>
      <c r="AY281" s="1357"/>
    </row>
    <row r="282" spans="1:51" s="281" customFormat="1" ht="79.5" customHeight="1">
      <c r="A282" s="888"/>
      <c r="B282" s="260" t="s">
        <v>28</v>
      </c>
      <c r="C282" s="4"/>
      <c r="D282" s="112" t="s">
        <v>29</v>
      </c>
      <c r="E282" s="112"/>
      <c r="F282" s="112"/>
      <c r="G282" s="112"/>
      <c r="H282" s="5" t="s">
        <v>2945</v>
      </c>
      <c r="I282" s="5" t="s">
        <v>34</v>
      </c>
      <c r="J282" s="108" t="s">
        <v>1100</v>
      </c>
      <c r="K282" s="108"/>
      <c r="L282" s="108"/>
      <c r="M282" s="14">
        <v>43290</v>
      </c>
      <c r="N282" s="14"/>
      <c r="O282" s="176">
        <v>43344</v>
      </c>
      <c r="P282" s="12">
        <v>36</v>
      </c>
      <c r="Q282" s="27">
        <v>36</v>
      </c>
      <c r="R282" s="18">
        <v>16357</v>
      </c>
      <c r="S282" s="30" t="s">
        <v>1412</v>
      </c>
      <c r="T282" s="12" t="s">
        <v>54</v>
      </c>
      <c r="U282" s="4"/>
      <c r="V282" s="4"/>
      <c r="W282" s="5" t="s">
        <v>2946</v>
      </c>
      <c r="X282" s="5" t="s">
        <v>219</v>
      </c>
      <c r="Y282" s="5" t="s">
        <v>457</v>
      </c>
      <c r="Z282" s="5"/>
      <c r="AA282" s="5"/>
      <c r="AB282" s="193">
        <v>43655</v>
      </c>
      <c r="AC282" s="8" t="s">
        <v>2947</v>
      </c>
      <c r="AD282" s="141"/>
      <c r="AE282" s="17">
        <v>5452.33</v>
      </c>
      <c r="AF282" s="1360"/>
      <c r="AG282" s="1357"/>
      <c r="AH282" s="1357"/>
      <c r="AI282" s="1357"/>
      <c r="AJ282" s="1357"/>
      <c r="AK282" s="1357"/>
      <c r="AL282" s="1357"/>
      <c r="AM282" s="1357"/>
      <c r="AN282" s="1357"/>
      <c r="AO282" s="1357"/>
      <c r="AP282" s="1357"/>
      <c r="AQ282" s="1357"/>
      <c r="AR282" s="1357"/>
      <c r="AS282" s="1357"/>
      <c r="AT282" s="1357"/>
      <c r="AU282" s="1357"/>
      <c r="AV282" s="1357"/>
      <c r="AW282" s="1357"/>
      <c r="AX282" s="1357"/>
      <c r="AY282" s="1357"/>
    </row>
    <row r="283" spans="1:51" s="281" customFormat="1" ht="28.8">
      <c r="A283" s="888"/>
      <c r="B283" s="260" t="s">
        <v>28</v>
      </c>
      <c r="C283" s="260"/>
      <c r="D283" s="1387" t="s">
        <v>29</v>
      </c>
      <c r="E283" s="1387"/>
      <c r="F283" s="1387"/>
      <c r="G283" s="1387"/>
      <c r="H283" s="1388" t="s">
        <v>364</v>
      </c>
      <c r="I283" s="1389" t="s">
        <v>34</v>
      </c>
      <c r="J283" s="1390" t="s">
        <v>2948</v>
      </c>
      <c r="K283" s="1390"/>
      <c r="L283" s="1390"/>
      <c r="M283" s="1391">
        <v>43336</v>
      </c>
      <c r="N283" s="1391"/>
      <c r="O283" s="1391">
        <v>43344</v>
      </c>
      <c r="P283" s="1392">
        <v>6</v>
      </c>
      <c r="Q283" s="1393">
        <v>6</v>
      </c>
      <c r="R283" s="273">
        <v>76300</v>
      </c>
      <c r="S283" s="1394" t="s">
        <v>2949</v>
      </c>
      <c r="T283" s="1392" t="s">
        <v>54</v>
      </c>
      <c r="U283" s="260"/>
      <c r="V283" s="260"/>
      <c r="W283" s="1392" t="s">
        <v>2950</v>
      </c>
      <c r="X283" s="1395" t="s">
        <v>1053</v>
      </c>
      <c r="Y283" s="270" t="s">
        <v>457</v>
      </c>
      <c r="Z283" s="270"/>
      <c r="AA283" s="1387"/>
      <c r="AB283" s="1386">
        <v>43340</v>
      </c>
      <c r="AC283" s="1396" t="s">
        <v>2951</v>
      </c>
      <c r="AD283" s="1387"/>
      <c r="AE283" s="1397"/>
      <c r="AF283" s="1360"/>
      <c r="AG283" s="1357"/>
      <c r="AH283" s="1357"/>
      <c r="AI283" s="1357"/>
      <c r="AJ283" s="1357"/>
      <c r="AK283" s="1357"/>
      <c r="AL283" s="1357"/>
      <c r="AM283" s="1357"/>
      <c r="AN283" s="1357"/>
      <c r="AO283" s="1357"/>
      <c r="AP283" s="1357"/>
      <c r="AQ283" s="1357"/>
      <c r="AR283" s="1357"/>
      <c r="AS283" s="1357"/>
      <c r="AT283" s="1357"/>
      <c r="AU283" s="1357"/>
      <c r="AV283" s="1357"/>
      <c r="AW283" s="1357"/>
      <c r="AX283" s="1357"/>
      <c r="AY283" s="1357"/>
    </row>
    <row r="284" spans="1:51" s="281" customFormat="1" ht="28.8">
      <c r="A284" s="888"/>
      <c r="B284" s="260" t="s">
        <v>28</v>
      </c>
      <c r="C284" s="4"/>
      <c r="D284" s="1398" t="s">
        <v>29</v>
      </c>
      <c r="E284" s="1398"/>
      <c r="F284" s="1398"/>
      <c r="G284" s="1398"/>
      <c r="H284" s="1399" t="s">
        <v>364</v>
      </c>
      <c r="I284" s="1400" t="s">
        <v>34</v>
      </c>
      <c r="J284" s="1401" t="s">
        <v>2952</v>
      </c>
      <c r="K284" s="1401"/>
      <c r="L284" s="1401"/>
      <c r="M284" s="1402">
        <v>43336</v>
      </c>
      <c r="N284" s="1402"/>
      <c r="O284" s="1402">
        <v>43344</v>
      </c>
      <c r="P284" s="1403">
        <v>36</v>
      </c>
      <c r="Q284" s="1404">
        <v>36</v>
      </c>
      <c r="R284" s="18">
        <v>16800</v>
      </c>
      <c r="S284" s="1405" t="s">
        <v>2949</v>
      </c>
      <c r="T284" s="1403" t="s">
        <v>54</v>
      </c>
      <c r="U284" s="4"/>
      <c r="V284" s="4"/>
      <c r="W284" s="1403" t="s">
        <v>2950</v>
      </c>
      <c r="X284" s="1375" t="s">
        <v>1053</v>
      </c>
      <c r="Y284" s="5" t="s">
        <v>457</v>
      </c>
      <c r="Z284" s="5"/>
      <c r="AA284" s="1406"/>
      <c r="AB284" s="1386">
        <v>43340</v>
      </c>
      <c r="AC284" s="1407" t="s">
        <v>2951</v>
      </c>
      <c r="AD284" s="1398"/>
      <c r="AE284" s="1408"/>
      <c r="AF284" s="1"/>
      <c r="AG284" s="1357"/>
      <c r="AH284" s="1357"/>
      <c r="AI284" s="1357"/>
      <c r="AJ284" s="1357"/>
      <c r="AK284" s="1357"/>
      <c r="AL284" s="1357"/>
      <c r="AM284" s="1357"/>
      <c r="AN284" s="1357"/>
      <c r="AO284" s="1357"/>
      <c r="AP284" s="1357"/>
      <c r="AQ284" s="1357"/>
      <c r="AR284" s="1357"/>
      <c r="AS284" s="1357"/>
      <c r="AT284" s="1357"/>
      <c r="AU284" s="1357"/>
      <c r="AV284" s="1357"/>
      <c r="AW284" s="1357"/>
      <c r="AX284" s="1357"/>
      <c r="AY284" s="1357"/>
    </row>
    <row r="285" spans="1:51" s="1" customFormat="1" ht="28.8">
      <c r="A285" s="888"/>
      <c r="B285" s="260" t="s">
        <v>28</v>
      </c>
      <c r="C285" s="4"/>
      <c r="D285" s="112" t="s">
        <v>60</v>
      </c>
      <c r="E285" s="112"/>
      <c r="F285" s="112"/>
      <c r="G285" s="112"/>
      <c r="H285" s="5" t="s">
        <v>171</v>
      </c>
      <c r="I285" s="5" t="s">
        <v>34</v>
      </c>
      <c r="J285" s="16" t="s">
        <v>2953</v>
      </c>
      <c r="K285" s="16"/>
      <c r="L285" s="16"/>
      <c r="M285" s="176">
        <v>43336</v>
      </c>
      <c r="N285" s="176"/>
      <c r="O285" s="176">
        <v>43344</v>
      </c>
      <c r="P285" s="12">
        <v>6</v>
      </c>
      <c r="Q285" s="28" t="s">
        <v>1281</v>
      </c>
      <c r="R285" s="18">
        <v>16000</v>
      </c>
      <c r="S285" s="30" t="s">
        <v>1195</v>
      </c>
      <c r="T285" s="12" t="s">
        <v>54</v>
      </c>
      <c r="U285" s="4"/>
      <c r="V285" s="4"/>
      <c r="W285" s="5" t="s">
        <v>1111</v>
      </c>
      <c r="X285" s="5" t="s">
        <v>2919</v>
      </c>
      <c r="Y285" s="5" t="s">
        <v>457</v>
      </c>
      <c r="Z285" s="5"/>
      <c r="AA285" s="5"/>
      <c r="AB285" s="193">
        <v>43375</v>
      </c>
      <c r="AC285" s="35" t="s">
        <v>2954</v>
      </c>
      <c r="AD285" s="141"/>
      <c r="AE285" s="17"/>
    </row>
    <row r="286" spans="1:51" s="282" customFormat="1" ht="110.4">
      <c r="A286" s="852"/>
      <c r="B286" s="714" t="s">
        <v>48</v>
      </c>
      <c r="C286" s="520" t="s">
        <v>1370</v>
      </c>
      <c r="D286" s="727" t="s">
        <v>60</v>
      </c>
      <c r="E286" s="727"/>
      <c r="F286" s="727"/>
      <c r="G286" s="727"/>
      <c r="H286" s="521" t="s">
        <v>127</v>
      </c>
      <c r="I286" s="522" t="s">
        <v>34</v>
      </c>
      <c r="J286" s="1023" t="s">
        <v>1371</v>
      </c>
      <c r="K286" s="522"/>
      <c r="L286" s="523">
        <v>43185</v>
      </c>
      <c r="M286" s="523"/>
      <c r="N286" s="523"/>
      <c r="O286" s="523">
        <v>43344</v>
      </c>
      <c r="P286" s="524">
        <v>1</v>
      </c>
      <c r="Q286" s="524">
        <v>1</v>
      </c>
      <c r="R286" s="525">
        <v>139516</v>
      </c>
      <c r="S286" s="790" t="s">
        <v>1372</v>
      </c>
      <c r="T286" s="527" t="s">
        <v>54</v>
      </c>
      <c r="U286" s="527"/>
      <c r="V286" s="527"/>
      <c r="W286" s="528" t="s">
        <v>1131</v>
      </c>
      <c r="X286" s="114"/>
      <c r="Y286" s="114"/>
      <c r="Z286" s="114"/>
      <c r="AA286" s="114"/>
      <c r="AB286" s="114"/>
      <c r="AC286" s="114"/>
      <c r="AD286" s="303"/>
      <c r="AE286" s="114"/>
      <c r="AF286" s="1"/>
      <c r="AG286" s="1360"/>
      <c r="AH286" s="1360"/>
      <c r="AI286" s="1360"/>
      <c r="AJ286" s="1360"/>
      <c r="AK286" s="1360"/>
      <c r="AL286" s="1360"/>
      <c r="AM286" s="1360"/>
      <c r="AN286" s="1360"/>
      <c r="AO286" s="1360"/>
      <c r="AP286" s="1360"/>
      <c r="AQ286" s="1360"/>
      <c r="AR286" s="1360"/>
      <c r="AS286" s="1360"/>
      <c r="AT286" s="1360"/>
      <c r="AU286" s="1360"/>
      <c r="AV286" s="1360"/>
      <c r="AW286" s="1360"/>
      <c r="AX286" s="1360"/>
      <c r="AY286" s="1360"/>
    </row>
    <row r="287" spans="1:51" s="282" customFormat="1" ht="39.6">
      <c r="A287" s="852"/>
      <c r="B287" s="714" t="s">
        <v>48</v>
      </c>
      <c r="C287" s="544"/>
      <c r="D287" s="554" t="s">
        <v>60</v>
      </c>
      <c r="E287" s="554"/>
      <c r="F287" s="554"/>
      <c r="G287" s="554"/>
      <c r="H287" s="466" t="s">
        <v>49</v>
      </c>
      <c r="I287" s="474" t="s">
        <v>34</v>
      </c>
      <c r="J287" s="549" t="s">
        <v>1680</v>
      </c>
      <c r="K287" s="484"/>
      <c r="L287" s="545">
        <v>43282</v>
      </c>
      <c r="M287" s="545"/>
      <c r="N287" s="545"/>
      <c r="O287" s="540">
        <v>43344</v>
      </c>
      <c r="P287" s="474" t="s">
        <v>125</v>
      </c>
      <c r="Q287" s="471" t="s">
        <v>35</v>
      </c>
      <c r="R287" s="550">
        <v>400000</v>
      </c>
      <c r="S287" s="791" t="s">
        <v>1663</v>
      </c>
      <c r="T287" s="470" t="s">
        <v>54</v>
      </c>
      <c r="U287" s="470"/>
      <c r="V287" s="470"/>
      <c r="W287" s="466" t="s">
        <v>1681</v>
      </c>
      <c r="X287" s="114"/>
      <c r="Y287" s="114"/>
      <c r="Z287" s="114"/>
      <c r="AA287" s="114"/>
      <c r="AB287" s="114"/>
      <c r="AC287" s="114"/>
      <c r="AD287" s="303"/>
      <c r="AE287" s="114"/>
      <c r="AF287" s="1"/>
      <c r="AG287" s="1360"/>
      <c r="AH287" s="1360"/>
      <c r="AI287" s="1360"/>
      <c r="AJ287" s="1360"/>
      <c r="AK287" s="1360"/>
      <c r="AL287" s="1360"/>
      <c r="AM287" s="1360"/>
      <c r="AN287" s="1360"/>
      <c r="AO287" s="1360"/>
      <c r="AP287" s="1360"/>
      <c r="AQ287" s="1360"/>
      <c r="AR287" s="1360"/>
      <c r="AS287" s="1360"/>
      <c r="AT287" s="1360"/>
      <c r="AU287" s="1360"/>
      <c r="AV287" s="1360"/>
      <c r="AW287" s="1360"/>
      <c r="AX287" s="1360"/>
      <c r="AY287" s="1360"/>
    </row>
    <row r="288" spans="1:51" s="282" customFormat="1" ht="68.25" customHeight="1">
      <c r="A288" s="852"/>
      <c r="B288" s="714" t="s">
        <v>48</v>
      </c>
      <c r="C288" s="476" t="s">
        <v>1703</v>
      </c>
      <c r="D288" s="554" t="s">
        <v>29</v>
      </c>
      <c r="E288" s="554"/>
      <c r="F288" s="554"/>
      <c r="G288" s="554"/>
      <c r="H288" s="466" t="s">
        <v>49</v>
      </c>
      <c r="I288" s="474" t="s">
        <v>34</v>
      </c>
      <c r="J288" s="549" t="s">
        <v>1704</v>
      </c>
      <c r="K288" s="484"/>
      <c r="L288" s="545">
        <v>43304</v>
      </c>
      <c r="M288" s="545"/>
      <c r="N288" s="545"/>
      <c r="O288" s="545">
        <v>43344</v>
      </c>
      <c r="P288" s="471" t="s">
        <v>35</v>
      </c>
      <c r="Q288" s="761" t="s">
        <v>35</v>
      </c>
      <c r="R288" s="542">
        <v>20000</v>
      </c>
      <c r="S288" s="478" t="s">
        <v>109</v>
      </c>
      <c r="T288" s="470" t="s">
        <v>54</v>
      </c>
      <c r="U288" s="470"/>
      <c r="V288" s="470"/>
      <c r="W288" s="466" t="s">
        <v>1705</v>
      </c>
      <c r="X288" s="114"/>
      <c r="Y288" s="114"/>
      <c r="Z288" s="114"/>
      <c r="AA288" s="180"/>
      <c r="AB288" s="114"/>
      <c r="AC288" s="114"/>
      <c r="AD288" s="303"/>
      <c r="AE288" s="114"/>
      <c r="AF288" s="1357"/>
      <c r="AG288" s="1360"/>
      <c r="AH288" s="1360"/>
      <c r="AI288" s="1360"/>
      <c r="AJ288" s="1360"/>
      <c r="AK288" s="1360"/>
      <c r="AL288" s="1360"/>
      <c r="AM288" s="1360"/>
      <c r="AN288" s="1360"/>
      <c r="AO288" s="1360"/>
      <c r="AP288" s="1360"/>
      <c r="AQ288" s="1360"/>
      <c r="AR288" s="1360"/>
      <c r="AS288" s="1360"/>
      <c r="AT288" s="1360"/>
      <c r="AU288" s="1360"/>
      <c r="AV288" s="1360"/>
      <c r="AW288" s="1360"/>
      <c r="AX288" s="1360"/>
      <c r="AY288" s="1360"/>
    </row>
    <row r="289" spans="1:51" s="1" customFormat="1" ht="39.6">
      <c r="A289" s="852"/>
      <c r="B289" s="714" t="s">
        <v>48</v>
      </c>
      <c r="C289" s="544"/>
      <c r="D289" s="554" t="s">
        <v>29</v>
      </c>
      <c r="E289" s="554"/>
      <c r="F289" s="554"/>
      <c r="G289" s="554"/>
      <c r="H289" s="466" t="s">
        <v>49</v>
      </c>
      <c r="I289" s="474" t="s">
        <v>34</v>
      </c>
      <c r="J289" s="549" t="s">
        <v>1736</v>
      </c>
      <c r="K289" s="484"/>
      <c r="L289" s="555">
        <v>43344</v>
      </c>
      <c r="M289" s="555"/>
      <c r="N289" s="555"/>
      <c r="O289" s="555">
        <v>43344</v>
      </c>
      <c r="P289" s="471" t="s">
        <v>125</v>
      </c>
      <c r="Q289" s="471" t="s">
        <v>125</v>
      </c>
      <c r="R289" s="547" t="s">
        <v>125</v>
      </c>
      <c r="S289" s="791" t="s">
        <v>109</v>
      </c>
      <c r="T289" s="470" t="s">
        <v>54</v>
      </c>
      <c r="U289" s="470"/>
      <c r="V289" s="470"/>
      <c r="W289" s="466" t="s">
        <v>406</v>
      </c>
      <c r="X289" s="114"/>
      <c r="Y289" s="114"/>
      <c r="Z289" s="114"/>
      <c r="AA289" s="114"/>
      <c r="AB289" s="114"/>
      <c r="AC289" s="114"/>
      <c r="AD289" s="303"/>
      <c r="AE289" s="114"/>
      <c r="AF289" s="1360"/>
    </row>
    <row r="290" spans="1:51" s="1" customFormat="1" ht="43.2">
      <c r="A290" s="888"/>
      <c r="B290" s="260" t="s">
        <v>28</v>
      </c>
      <c r="C290" s="4"/>
      <c r="D290" s="112" t="s">
        <v>60</v>
      </c>
      <c r="E290" s="112"/>
      <c r="F290" s="112"/>
      <c r="G290" s="112"/>
      <c r="H290" s="5" t="s">
        <v>171</v>
      </c>
      <c r="I290" s="5" t="s">
        <v>34</v>
      </c>
      <c r="J290" s="16" t="s">
        <v>2955</v>
      </c>
      <c r="K290" s="16"/>
      <c r="L290" s="16"/>
      <c r="M290" s="176">
        <v>43290</v>
      </c>
      <c r="N290" s="176"/>
      <c r="O290" s="71">
        <v>43346</v>
      </c>
      <c r="P290" s="12">
        <v>8</v>
      </c>
      <c r="Q290" s="7" t="s">
        <v>2956</v>
      </c>
      <c r="R290" s="109">
        <v>50000</v>
      </c>
      <c r="S290" s="30" t="s">
        <v>2957</v>
      </c>
      <c r="T290" s="11" t="s">
        <v>54</v>
      </c>
      <c r="U290" s="4"/>
      <c r="V290" s="4"/>
      <c r="W290" s="5" t="s">
        <v>2958</v>
      </c>
      <c r="X290" s="5" t="s">
        <v>1097</v>
      </c>
      <c r="Y290" s="5" t="s">
        <v>457</v>
      </c>
      <c r="Z290" s="5"/>
      <c r="AA290" s="5"/>
      <c r="AB290" s="193">
        <v>43342</v>
      </c>
      <c r="AC290" s="8" t="s">
        <v>2959</v>
      </c>
      <c r="AD290" s="141"/>
      <c r="AE290" s="17">
        <v>33252</v>
      </c>
      <c r="AF290" s="1357"/>
    </row>
    <row r="291" spans="1:51" s="283" customFormat="1" ht="43.2">
      <c r="A291" s="888"/>
      <c r="B291" s="260" t="s">
        <v>28</v>
      </c>
      <c r="C291" s="4"/>
      <c r="D291" s="112" t="s">
        <v>60</v>
      </c>
      <c r="E291" s="112"/>
      <c r="F291" s="112"/>
      <c r="G291" s="112"/>
      <c r="H291" s="5" t="s">
        <v>171</v>
      </c>
      <c r="I291" s="5" t="s">
        <v>34</v>
      </c>
      <c r="J291" s="16" t="s">
        <v>2955</v>
      </c>
      <c r="K291" s="16"/>
      <c r="L291" s="16"/>
      <c r="M291" s="176">
        <v>43290</v>
      </c>
      <c r="N291" s="176"/>
      <c r="O291" s="71">
        <v>43346</v>
      </c>
      <c r="P291" s="12">
        <v>8</v>
      </c>
      <c r="Q291" s="25" t="s">
        <v>2956</v>
      </c>
      <c r="R291" s="109">
        <v>50000</v>
      </c>
      <c r="S291" s="30" t="s">
        <v>2957</v>
      </c>
      <c r="T291" s="11" t="s">
        <v>54</v>
      </c>
      <c r="U291" s="4"/>
      <c r="V291" s="4"/>
      <c r="W291" s="5" t="s">
        <v>2958</v>
      </c>
      <c r="X291" s="5" t="s">
        <v>1097</v>
      </c>
      <c r="Y291" s="5" t="s">
        <v>457</v>
      </c>
      <c r="Z291" s="5"/>
      <c r="AA291" s="5"/>
      <c r="AB291" s="193">
        <v>43342</v>
      </c>
      <c r="AC291" s="8" t="s">
        <v>2959</v>
      </c>
      <c r="AD291" s="141"/>
      <c r="AE291" s="17">
        <v>33252</v>
      </c>
      <c r="AF291" s="1360"/>
      <c r="AG291" s="1358"/>
      <c r="AH291" s="1358"/>
      <c r="AI291" s="1358"/>
      <c r="AJ291" s="1358"/>
      <c r="AK291" s="1358"/>
      <c r="AL291" s="1358"/>
      <c r="AM291" s="1358"/>
      <c r="AN291" s="1358"/>
      <c r="AO291" s="1358"/>
      <c r="AP291" s="1358"/>
      <c r="AQ291" s="1358"/>
      <c r="AR291" s="1358"/>
      <c r="AS291" s="1358"/>
      <c r="AT291" s="1358"/>
      <c r="AU291" s="1358"/>
      <c r="AV291" s="1358"/>
      <c r="AW291" s="1358"/>
      <c r="AX291" s="1358"/>
      <c r="AY291" s="1358"/>
    </row>
    <row r="292" spans="1:51" s="283" customFormat="1" ht="14.4">
      <c r="A292" s="888"/>
      <c r="B292" s="260" t="s">
        <v>28</v>
      </c>
      <c r="C292" s="4"/>
      <c r="D292" s="1379" t="s">
        <v>29</v>
      </c>
      <c r="E292" s="1379"/>
      <c r="F292" s="1379"/>
      <c r="G292" s="1379"/>
      <c r="H292" s="1409" t="s">
        <v>364</v>
      </c>
      <c r="I292" s="1380" t="s">
        <v>34</v>
      </c>
      <c r="J292" s="1347" t="s">
        <v>2960</v>
      </c>
      <c r="K292" s="1347"/>
      <c r="L292" s="1347"/>
      <c r="M292" s="1347"/>
      <c r="N292" s="1347"/>
      <c r="O292" s="1329">
        <v>43346</v>
      </c>
      <c r="P292" s="1330">
        <v>36</v>
      </c>
      <c r="Q292" s="1330" t="s">
        <v>236</v>
      </c>
      <c r="R292" s="1353">
        <v>36600</v>
      </c>
      <c r="S292" s="1330" t="s">
        <v>2961</v>
      </c>
      <c r="T292" s="12" t="s">
        <v>54</v>
      </c>
      <c r="U292" s="4"/>
      <c r="V292" s="4"/>
      <c r="W292" s="1330" t="s">
        <v>2673</v>
      </c>
      <c r="X292" s="1380" t="s">
        <v>1053</v>
      </c>
      <c r="Y292" s="5" t="s">
        <v>457</v>
      </c>
      <c r="Z292" s="5"/>
      <c r="AA292" s="1382"/>
      <c r="AB292" s="1347"/>
      <c r="AC292" s="1347"/>
      <c r="AD292" s="1379"/>
      <c r="AE292" s="1347"/>
      <c r="AF292" s="1357"/>
      <c r="AG292" s="1358"/>
      <c r="AH292" s="1358"/>
      <c r="AI292" s="1358"/>
      <c r="AJ292" s="1358"/>
      <c r="AK292" s="1358"/>
      <c r="AL292" s="1358"/>
      <c r="AM292" s="1358"/>
      <c r="AN292" s="1358"/>
      <c r="AO292" s="1358"/>
      <c r="AP292" s="1358"/>
      <c r="AQ292" s="1358"/>
      <c r="AR292" s="1358"/>
      <c r="AS292" s="1358"/>
      <c r="AT292" s="1358"/>
      <c r="AU292" s="1358"/>
      <c r="AV292" s="1358"/>
      <c r="AW292" s="1358"/>
      <c r="AX292" s="1358"/>
      <c r="AY292" s="1358"/>
    </row>
    <row r="293" spans="1:51" s="282" customFormat="1" ht="14.4">
      <c r="A293" s="888"/>
      <c r="B293" s="423" t="s">
        <v>28</v>
      </c>
      <c r="C293" s="198"/>
      <c r="D293" s="1346" t="s">
        <v>29</v>
      </c>
      <c r="E293" s="1346"/>
      <c r="F293" s="1346"/>
      <c r="G293" s="1346"/>
      <c r="H293" s="1410" t="s">
        <v>364</v>
      </c>
      <c r="I293" s="1411" t="s">
        <v>34</v>
      </c>
      <c r="J293" s="1412" t="s">
        <v>2962</v>
      </c>
      <c r="K293" s="1412"/>
      <c r="L293" s="1412"/>
      <c r="M293" s="1412"/>
      <c r="N293" s="1412"/>
      <c r="O293" s="1413">
        <v>43346</v>
      </c>
      <c r="P293" s="1359">
        <v>36</v>
      </c>
      <c r="Q293" s="1414" t="s">
        <v>236</v>
      </c>
      <c r="R293" s="1415">
        <v>22500</v>
      </c>
      <c r="S293" s="1345" t="s">
        <v>2961</v>
      </c>
      <c r="T293" s="196" t="s">
        <v>54</v>
      </c>
      <c r="U293" s="198"/>
      <c r="V293" s="198"/>
      <c r="W293" s="1359" t="s">
        <v>2673</v>
      </c>
      <c r="X293" s="1380" t="s">
        <v>1053</v>
      </c>
      <c r="Y293" s="55" t="s">
        <v>457</v>
      </c>
      <c r="Z293" s="55"/>
      <c r="AA293" s="1416"/>
      <c r="AB293" s="1347"/>
      <c r="AC293" s="1412"/>
      <c r="AD293" s="1346"/>
      <c r="AE293" s="1412"/>
      <c r="AF293" s="1360"/>
      <c r="AG293" s="1360"/>
      <c r="AH293" s="1360"/>
      <c r="AI293" s="1360"/>
      <c r="AJ293" s="1360"/>
      <c r="AK293" s="1360"/>
      <c r="AL293" s="1360"/>
      <c r="AM293" s="1360"/>
      <c r="AN293" s="1360"/>
      <c r="AO293" s="1360"/>
      <c r="AP293" s="1360"/>
      <c r="AQ293" s="1360"/>
      <c r="AR293" s="1360"/>
      <c r="AS293" s="1360"/>
      <c r="AT293" s="1360"/>
      <c r="AU293" s="1360"/>
      <c r="AV293" s="1360"/>
      <c r="AW293" s="1360"/>
      <c r="AX293" s="1360"/>
      <c r="AY293" s="1360"/>
    </row>
    <row r="294" spans="1:51" s="282" customFormat="1" ht="14.4">
      <c r="A294" s="888"/>
      <c r="B294" s="260" t="s">
        <v>28</v>
      </c>
      <c r="C294" s="4"/>
      <c r="D294" s="1379" t="s">
        <v>29</v>
      </c>
      <c r="E294" s="1379"/>
      <c r="F294" s="1379"/>
      <c r="G294" s="1379"/>
      <c r="H294" s="1409" t="s">
        <v>364</v>
      </c>
      <c r="I294" s="1380" t="s">
        <v>34</v>
      </c>
      <c r="J294" s="1347" t="s">
        <v>2963</v>
      </c>
      <c r="K294" s="1347"/>
      <c r="L294" s="1347"/>
      <c r="M294" s="1347"/>
      <c r="N294" s="1347"/>
      <c r="O294" s="1329">
        <v>43346</v>
      </c>
      <c r="P294" s="1330">
        <v>36</v>
      </c>
      <c r="Q294" s="1352" t="s">
        <v>236</v>
      </c>
      <c r="R294" s="1353">
        <v>214500</v>
      </c>
      <c r="S294" s="1355" t="s">
        <v>2961</v>
      </c>
      <c r="T294" s="12" t="s">
        <v>54</v>
      </c>
      <c r="U294" s="4"/>
      <c r="V294" s="4"/>
      <c r="W294" s="1330" t="s">
        <v>2673</v>
      </c>
      <c r="X294" s="1380" t="s">
        <v>1053</v>
      </c>
      <c r="Y294" s="5" t="s">
        <v>457</v>
      </c>
      <c r="Z294" s="5"/>
      <c r="AA294" s="1382"/>
      <c r="AB294" s="1347"/>
      <c r="AC294" s="1347"/>
      <c r="AD294" s="1379"/>
      <c r="AE294" s="1347"/>
      <c r="AF294" s="1360"/>
      <c r="AG294" s="1360"/>
      <c r="AH294" s="1360"/>
      <c r="AI294" s="1360"/>
      <c r="AJ294" s="1360"/>
      <c r="AK294" s="1360"/>
      <c r="AL294" s="1360"/>
      <c r="AM294" s="1360"/>
      <c r="AN294" s="1360"/>
      <c r="AO294" s="1360"/>
      <c r="AP294" s="1360"/>
      <c r="AQ294" s="1360"/>
      <c r="AR294" s="1360"/>
      <c r="AS294" s="1360"/>
      <c r="AT294" s="1360"/>
      <c r="AU294" s="1360"/>
      <c r="AV294" s="1360"/>
      <c r="AW294" s="1360"/>
      <c r="AX294" s="1360"/>
      <c r="AY294" s="1360"/>
    </row>
    <row r="295" spans="1:51" s="282" customFormat="1" ht="28.8">
      <c r="A295" s="888"/>
      <c r="B295" s="260" t="s">
        <v>28</v>
      </c>
      <c r="C295" s="1406"/>
      <c r="D295" s="1398" t="s">
        <v>29</v>
      </c>
      <c r="E295" s="1398"/>
      <c r="F295" s="1398"/>
      <c r="G295" s="1398"/>
      <c r="H295" s="1399" t="s">
        <v>364</v>
      </c>
      <c r="I295" s="1400" t="s">
        <v>34</v>
      </c>
      <c r="J295" s="1401" t="s">
        <v>2964</v>
      </c>
      <c r="K295" s="1417"/>
      <c r="L295" s="1417"/>
      <c r="M295" s="1400"/>
      <c r="N295" s="1400"/>
      <c r="O295" s="1402">
        <v>43346</v>
      </c>
      <c r="P295" s="1403">
        <v>12</v>
      </c>
      <c r="Q295" s="1404" t="s">
        <v>100</v>
      </c>
      <c r="R295" s="18">
        <v>6250</v>
      </c>
      <c r="S295" s="30" t="s">
        <v>163</v>
      </c>
      <c r="T295" s="1403" t="s">
        <v>54</v>
      </c>
      <c r="U295" s="1406"/>
      <c r="V295" s="1406"/>
      <c r="W295" s="1403" t="s">
        <v>2637</v>
      </c>
      <c r="X295" s="1375" t="s">
        <v>1053</v>
      </c>
      <c r="Y295" s="5" t="s">
        <v>457</v>
      </c>
      <c r="Z295" s="5"/>
      <c r="AA295" s="1406"/>
      <c r="AB295" s="1386">
        <v>43453</v>
      </c>
      <c r="AC295" s="1407" t="s">
        <v>2965</v>
      </c>
      <c r="AD295" s="172"/>
      <c r="AE295" s="1418"/>
      <c r="AF295" s="1360"/>
      <c r="AG295" s="1360"/>
      <c r="AH295" s="1360"/>
      <c r="AI295" s="1360"/>
      <c r="AJ295" s="1360"/>
      <c r="AK295" s="1360"/>
      <c r="AL295" s="1360"/>
      <c r="AM295" s="1360"/>
      <c r="AN295" s="1360"/>
      <c r="AO295" s="1360"/>
      <c r="AP295" s="1360"/>
      <c r="AQ295" s="1360"/>
      <c r="AR295" s="1360"/>
      <c r="AS295" s="1360"/>
      <c r="AT295" s="1360"/>
      <c r="AU295" s="1360"/>
      <c r="AV295" s="1360"/>
      <c r="AW295" s="1360"/>
      <c r="AX295" s="1360"/>
      <c r="AY295" s="1360"/>
    </row>
    <row r="296" spans="1:51" s="1" customFormat="1" ht="39.6">
      <c r="A296" s="852"/>
      <c r="B296" s="714" t="s">
        <v>48</v>
      </c>
      <c r="C296" s="465" t="s">
        <v>1552</v>
      </c>
      <c r="D296" s="554" t="s">
        <v>29</v>
      </c>
      <c r="E296" s="554"/>
      <c r="F296" s="554"/>
      <c r="G296" s="554"/>
      <c r="H296" s="466" t="s">
        <v>49</v>
      </c>
      <c r="I296" s="474" t="s">
        <v>34</v>
      </c>
      <c r="J296" s="1024" t="s">
        <v>1675</v>
      </c>
      <c r="K296" s="467"/>
      <c r="L296" s="545" t="s">
        <v>1266</v>
      </c>
      <c r="M296" s="545"/>
      <c r="N296" s="545"/>
      <c r="O296" s="540">
        <v>43346</v>
      </c>
      <c r="P296" s="471">
        <v>8</v>
      </c>
      <c r="Q296" s="471">
        <v>8</v>
      </c>
      <c r="R296" s="542">
        <v>665000</v>
      </c>
      <c r="S296" s="791" t="s">
        <v>1663</v>
      </c>
      <c r="T296" s="470" t="s">
        <v>54</v>
      </c>
      <c r="U296" s="470"/>
      <c r="V296" s="470"/>
      <c r="W296" s="474" t="s">
        <v>406</v>
      </c>
      <c r="X296" s="114"/>
      <c r="Y296" s="821"/>
      <c r="Z296" s="114"/>
      <c r="AA296" s="114"/>
      <c r="AB296" s="114"/>
      <c r="AC296" s="114"/>
      <c r="AD296" s="303"/>
      <c r="AE296" s="114"/>
      <c r="AF296" s="1360"/>
    </row>
    <row r="297" spans="1:51" s="282" customFormat="1" ht="57.6">
      <c r="A297" s="454"/>
      <c r="B297" s="260" t="s">
        <v>28</v>
      </c>
      <c r="C297" s="1406"/>
      <c r="D297" s="112" t="s">
        <v>29</v>
      </c>
      <c r="E297" s="112"/>
      <c r="F297" s="112"/>
      <c r="G297" s="112"/>
      <c r="H297" s="5" t="s">
        <v>70</v>
      </c>
      <c r="I297" s="5" t="s">
        <v>34</v>
      </c>
      <c r="J297" s="16" t="s">
        <v>2966</v>
      </c>
      <c r="K297" s="16"/>
      <c r="L297" s="16"/>
      <c r="M297" s="176">
        <v>43009</v>
      </c>
      <c r="N297" s="176"/>
      <c r="O297" s="176">
        <v>43349</v>
      </c>
      <c r="P297" s="12">
        <v>36</v>
      </c>
      <c r="Q297" s="13" t="s">
        <v>236</v>
      </c>
      <c r="R297" s="39">
        <v>76552</v>
      </c>
      <c r="S297" s="30" t="s">
        <v>163</v>
      </c>
      <c r="T297" s="12" t="s">
        <v>54</v>
      </c>
      <c r="U297" s="1406"/>
      <c r="V297" s="1406"/>
      <c r="W297" s="5" t="s">
        <v>2967</v>
      </c>
      <c r="X297" s="5" t="s">
        <v>150</v>
      </c>
      <c r="Y297" s="5" t="s">
        <v>457</v>
      </c>
      <c r="Z297" s="5"/>
      <c r="AA297" s="5"/>
      <c r="AB297" s="193">
        <v>43487</v>
      </c>
      <c r="AC297" s="8" t="s">
        <v>2968</v>
      </c>
      <c r="AD297" s="141"/>
      <c r="AE297" s="17">
        <f>SUM(R297/3)</f>
        <v>25517.333333333332</v>
      </c>
      <c r="AF297" s="1357"/>
      <c r="AG297" s="1360"/>
      <c r="AH297" s="1360"/>
      <c r="AI297" s="1360"/>
      <c r="AJ297" s="1360"/>
      <c r="AK297" s="1360"/>
      <c r="AL297" s="1360"/>
      <c r="AM297" s="1360"/>
      <c r="AN297" s="1360"/>
      <c r="AO297" s="1360"/>
      <c r="AP297" s="1360"/>
      <c r="AQ297" s="1360"/>
      <c r="AR297" s="1360"/>
      <c r="AS297" s="1360"/>
      <c r="AT297" s="1360"/>
      <c r="AU297" s="1360"/>
      <c r="AV297" s="1360"/>
      <c r="AW297" s="1360"/>
      <c r="AX297" s="1360"/>
      <c r="AY297" s="1360"/>
    </row>
    <row r="298" spans="1:51" s="282" customFormat="1" ht="82.8">
      <c r="A298" s="852"/>
      <c r="B298" s="714" t="s">
        <v>48</v>
      </c>
      <c r="C298" s="520" t="s">
        <v>1598</v>
      </c>
      <c r="D298" s="727" t="s">
        <v>60</v>
      </c>
      <c r="E298" s="727"/>
      <c r="F298" s="727"/>
      <c r="G298" s="727"/>
      <c r="H298" s="521" t="s">
        <v>127</v>
      </c>
      <c r="I298" s="522" t="s">
        <v>34</v>
      </c>
      <c r="J298" s="1023" t="s">
        <v>1599</v>
      </c>
      <c r="K298" s="522"/>
      <c r="L298" s="523">
        <v>43280</v>
      </c>
      <c r="M298" s="523"/>
      <c r="N298" s="523"/>
      <c r="O298" s="523">
        <v>43353</v>
      </c>
      <c r="P298" s="524">
        <v>2</v>
      </c>
      <c r="Q298" s="769">
        <v>2</v>
      </c>
      <c r="R298" s="525">
        <v>250000</v>
      </c>
      <c r="S298" s="526" t="s">
        <v>1397</v>
      </c>
      <c r="T298" s="527" t="s">
        <v>54</v>
      </c>
      <c r="U298" s="527"/>
      <c r="V298" s="527"/>
      <c r="W298" s="528" t="s">
        <v>1402</v>
      </c>
      <c r="X298" s="114"/>
      <c r="Y298" s="114"/>
      <c r="Z298" s="114"/>
      <c r="AA298" s="180"/>
      <c r="AB298" s="114"/>
      <c r="AC298" s="114"/>
      <c r="AD298" s="303"/>
      <c r="AE298" s="114"/>
      <c r="AF298" s="1357"/>
      <c r="AG298" s="1360"/>
      <c r="AH298" s="1360"/>
      <c r="AI298" s="1360"/>
      <c r="AJ298" s="1360"/>
      <c r="AK298" s="1360"/>
      <c r="AL298" s="1360"/>
      <c r="AM298" s="1360"/>
      <c r="AN298" s="1360"/>
      <c r="AO298" s="1360"/>
      <c r="AP298" s="1360"/>
      <c r="AQ298" s="1360"/>
      <c r="AR298" s="1360"/>
      <c r="AS298" s="1360"/>
      <c r="AT298" s="1360"/>
      <c r="AU298" s="1360"/>
      <c r="AV298" s="1360"/>
      <c r="AW298" s="1360"/>
      <c r="AX298" s="1360"/>
      <c r="AY298" s="1360"/>
    </row>
    <row r="299" spans="1:51" s="1" customFormat="1" ht="82.8">
      <c r="A299" s="852"/>
      <c r="B299" s="714" t="s">
        <v>48</v>
      </c>
      <c r="C299" s="538" t="s">
        <v>1604</v>
      </c>
      <c r="D299" s="727" t="s">
        <v>60</v>
      </c>
      <c r="E299" s="727"/>
      <c r="F299" s="727"/>
      <c r="G299" s="727"/>
      <c r="H299" s="521" t="s">
        <v>49</v>
      </c>
      <c r="I299" s="522" t="s">
        <v>34</v>
      </c>
      <c r="J299" s="537" t="s">
        <v>1605</v>
      </c>
      <c r="K299" s="537"/>
      <c r="L299" s="535">
        <v>43306</v>
      </c>
      <c r="M299" s="535"/>
      <c r="N299" s="535"/>
      <c r="O299" s="535">
        <v>43353</v>
      </c>
      <c r="P299" s="524">
        <v>0.5</v>
      </c>
      <c r="Q299" s="769">
        <v>0.5</v>
      </c>
      <c r="R299" s="539">
        <v>50000</v>
      </c>
      <c r="S299" s="790" t="s">
        <v>1397</v>
      </c>
      <c r="T299" s="527" t="s">
        <v>54</v>
      </c>
      <c r="U299" s="527"/>
      <c r="V299" s="527"/>
      <c r="W299" s="521" t="s">
        <v>1543</v>
      </c>
      <c r="X299" s="114"/>
      <c r="Y299" s="114"/>
      <c r="Z299" s="114"/>
      <c r="AA299" s="114"/>
      <c r="AB299" s="114"/>
      <c r="AC299" s="114"/>
      <c r="AD299" s="303"/>
      <c r="AE299" s="114"/>
      <c r="AF299" s="1357"/>
    </row>
    <row r="300" spans="1:51" s="281" customFormat="1" ht="49.35" customHeight="1">
      <c r="A300" s="852"/>
      <c r="B300" s="714" t="s">
        <v>48</v>
      </c>
      <c r="C300" s="536" t="s">
        <v>1621</v>
      </c>
      <c r="D300" s="727" t="s">
        <v>60</v>
      </c>
      <c r="E300" s="727"/>
      <c r="F300" s="727"/>
      <c r="G300" s="727"/>
      <c r="H300" s="521" t="s">
        <v>127</v>
      </c>
      <c r="I300" s="522" t="s">
        <v>34</v>
      </c>
      <c r="J300" s="537" t="s">
        <v>1622</v>
      </c>
      <c r="K300" s="537"/>
      <c r="L300" s="535">
        <v>43328</v>
      </c>
      <c r="M300" s="535"/>
      <c r="N300" s="535"/>
      <c r="O300" s="535">
        <v>43353</v>
      </c>
      <c r="P300" s="524">
        <v>3</v>
      </c>
      <c r="Q300" s="769">
        <v>3</v>
      </c>
      <c r="R300" s="539">
        <v>90000</v>
      </c>
      <c r="S300" s="790" t="s">
        <v>1397</v>
      </c>
      <c r="T300" s="527" t="s">
        <v>54</v>
      </c>
      <c r="U300" s="527"/>
      <c r="V300" s="527"/>
      <c r="W300" s="521" t="s">
        <v>1543</v>
      </c>
      <c r="X300" s="114"/>
      <c r="Y300" s="114"/>
      <c r="Z300" s="114"/>
      <c r="AA300" s="114"/>
      <c r="AB300" s="114"/>
      <c r="AC300" s="114"/>
      <c r="AD300" s="303"/>
      <c r="AE300" s="114"/>
      <c r="AF300" s="1357"/>
      <c r="AG300" s="1357"/>
      <c r="AH300" s="1357"/>
      <c r="AI300" s="1357"/>
      <c r="AJ300" s="1357"/>
      <c r="AK300" s="1357"/>
      <c r="AL300" s="1357"/>
      <c r="AM300" s="1357"/>
      <c r="AN300" s="1357"/>
      <c r="AO300" s="1357"/>
      <c r="AP300" s="1357"/>
      <c r="AQ300" s="1357"/>
      <c r="AR300" s="1357"/>
      <c r="AS300" s="1357"/>
      <c r="AT300" s="1357"/>
      <c r="AU300" s="1357"/>
      <c r="AV300" s="1357"/>
      <c r="AW300" s="1357"/>
      <c r="AX300" s="1357"/>
      <c r="AY300" s="1357"/>
    </row>
    <row r="301" spans="1:51" s="281" customFormat="1" ht="84.6" customHeight="1">
      <c r="A301" s="852"/>
      <c r="B301" s="714" t="s">
        <v>48</v>
      </c>
      <c r="C301" s="536" t="s">
        <v>1623</v>
      </c>
      <c r="D301" s="727" t="s">
        <v>60</v>
      </c>
      <c r="E301" s="727"/>
      <c r="F301" s="727"/>
      <c r="G301" s="727"/>
      <c r="H301" s="521" t="s">
        <v>49</v>
      </c>
      <c r="I301" s="522" t="s">
        <v>34</v>
      </c>
      <c r="J301" s="537" t="s">
        <v>1624</v>
      </c>
      <c r="K301" s="537"/>
      <c r="L301" s="535">
        <v>43312</v>
      </c>
      <c r="M301" s="535"/>
      <c r="N301" s="535"/>
      <c r="O301" s="535">
        <v>43360</v>
      </c>
      <c r="P301" s="524">
        <v>1</v>
      </c>
      <c r="Q301" s="524">
        <v>1</v>
      </c>
      <c r="R301" s="539">
        <v>25000</v>
      </c>
      <c r="S301" s="790" t="s">
        <v>1397</v>
      </c>
      <c r="T301" s="527" t="s">
        <v>54</v>
      </c>
      <c r="U301" s="527"/>
      <c r="V301" s="527"/>
      <c r="W301" s="521" t="s">
        <v>1339</v>
      </c>
      <c r="X301" s="114"/>
      <c r="Y301" s="114"/>
      <c r="Z301" s="114"/>
      <c r="AA301" s="114"/>
      <c r="AB301" s="114"/>
      <c r="AC301" s="114"/>
      <c r="AD301" s="303"/>
      <c r="AE301" s="114"/>
      <c r="AF301" s="1357"/>
      <c r="AG301" s="1357"/>
      <c r="AH301" s="1357"/>
      <c r="AI301" s="1357"/>
      <c r="AJ301" s="1357"/>
      <c r="AK301" s="1357"/>
      <c r="AL301" s="1357"/>
      <c r="AM301" s="1357"/>
      <c r="AN301" s="1357"/>
      <c r="AO301" s="1357"/>
      <c r="AP301" s="1357"/>
      <c r="AQ301" s="1357"/>
      <c r="AR301" s="1357"/>
      <c r="AS301" s="1357"/>
      <c r="AT301" s="1357"/>
      <c r="AU301" s="1357"/>
      <c r="AV301" s="1357"/>
      <c r="AW301" s="1357"/>
      <c r="AX301" s="1357"/>
      <c r="AY301" s="1357"/>
    </row>
    <row r="302" spans="1:51" s="281" customFormat="1" ht="110.4">
      <c r="A302" s="852"/>
      <c r="B302" s="714" t="s">
        <v>48</v>
      </c>
      <c r="C302" s="520" t="s">
        <v>1541</v>
      </c>
      <c r="D302" s="727" t="s">
        <v>60</v>
      </c>
      <c r="E302" s="727"/>
      <c r="F302" s="727"/>
      <c r="G302" s="727"/>
      <c r="H302" s="521" t="s">
        <v>127</v>
      </c>
      <c r="I302" s="522" t="s">
        <v>34</v>
      </c>
      <c r="J302" s="1023" t="s">
        <v>1542</v>
      </c>
      <c r="K302" s="522"/>
      <c r="L302" s="523">
        <v>43266</v>
      </c>
      <c r="M302" s="523"/>
      <c r="N302" s="523"/>
      <c r="O302" s="523">
        <v>43367</v>
      </c>
      <c r="P302" s="524">
        <v>0.25</v>
      </c>
      <c r="Q302" s="769">
        <v>0.25</v>
      </c>
      <c r="R302" s="525">
        <v>50000</v>
      </c>
      <c r="S302" s="526" t="s">
        <v>1372</v>
      </c>
      <c r="T302" s="527" t="s">
        <v>54</v>
      </c>
      <c r="U302" s="527"/>
      <c r="V302" s="527"/>
      <c r="W302" s="521" t="s">
        <v>1543</v>
      </c>
      <c r="X302" s="114"/>
      <c r="Y302" s="114"/>
      <c r="Z302" s="114"/>
      <c r="AA302" s="180"/>
      <c r="AB302" s="114"/>
      <c r="AC302" s="114"/>
      <c r="AD302" s="303"/>
      <c r="AE302" s="114"/>
      <c r="AF302" s="1357"/>
      <c r="AG302" s="1357"/>
      <c r="AH302" s="1357"/>
      <c r="AI302" s="1357"/>
      <c r="AJ302" s="1357"/>
      <c r="AK302" s="1357"/>
      <c r="AL302" s="1357"/>
      <c r="AM302" s="1357"/>
      <c r="AN302" s="1357"/>
      <c r="AO302" s="1357"/>
      <c r="AP302" s="1357"/>
      <c r="AQ302" s="1357"/>
      <c r="AR302" s="1357"/>
      <c r="AS302" s="1357"/>
      <c r="AT302" s="1357"/>
      <c r="AU302" s="1357"/>
      <c r="AV302" s="1357"/>
      <c r="AW302" s="1357"/>
      <c r="AX302" s="1357"/>
      <c r="AY302" s="1357"/>
    </row>
    <row r="303" spans="1:51" s="281" customFormat="1" ht="69">
      <c r="A303" s="852"/>
      <c r="B303" s="714" t="s">
        <v>48</v>
      </c>
      <c r="C303" s="520" t="s">
        <v>1593</v>
      </c>
      <c r="D303" s="727" t="s">
        <v>60</v>
      </c>
      <c r="E303" s="727"/>
      <c r="F303" s="727"/>
      <c r="G303" s="727"/>
      <c r="H303" s="521" t="s">
        <v>127</v>
      </c>
      <c r="I303" s="522" t="s">
        <v>34</v>
      </c>
      <c r="J303" s="1023" t="s">
        <v>1594</v>
      </c>
      <c r="K303" s="522"/>
      <c r="L303" s="523">
        <v>43257</v>
      </c>
      <c r="M303" s="523"/>
      <c r="N303" s="523"/>
      <c r="O303" s="523">
        <v>43367</v>
      </c>
      <c r="P303" s="524">
        <v>4</v>
      </c>
      <c r="Q303" s="524">
        <v>4</v>
      </c>
      <c r="R303" s="525">
        <v>450000</v>
      </c>
      <c r="S303" s="526" t="s">
        <v>1380</v>
      </c>
      <c r="T303" s="527" t="s">
        <v>54</v>
      </c>
      <c r="U303" s="527"/>
      <c r="V303" s="527"/>
      <c r="W303" s="521" t="s">
        <v>1514</v>
      </c>
      <c r="X303" s="114"/>
      <c r="Y303" s="114"/>
      <c r="Z303" s="114"/>
      <c r="AA303" s="114"/>
      <c r="AB303" s="114"/>
      <c r="AC303" s="114"/>
      <c r="AD303" s="303"/>
      <c r="AE303" s="114"/>
      <c r="AF303" s="1"/>
      <c r="AG303" s="1357"/>
      <c r="AH303" s="1357"/>
      <c r="AI303" s="1357"/>
      <c r="AJ303" s="1357"/>
      <c r="AK303" s="1357"/>
      <c r="AL303" s="1357"/>
      <c r="AM303" s="1357"/>
      <c r="AN303" s="1357"/>
      <c r="AO303" s="1357"/>
      <c r="AP303" s="1357"/>
      <c r="AQ303" s="1357"/>
      <c r="AR303" s="1357"/>
      <c r="AS303" s="1357"/>
      <c r="AT303" s="1357"/>
      <c r="AU303" s="1357"/>
      <c r="AV303" s="1357"/>
      <c r="AW303" s="1357"/>
      <c r="AX303" s="1357"/>
      <c r="AY303" s="1357"/>
    </row>
    <row r="304" spans="1:51" s="281" customFormat="1" ht="82.8">
      <c r="A304" s="852"/>
      <c r="B304" s="714" t="s">
        <v>48</v>
      </c>
      <c r="C304" s="520" t="s">
        <v>1617</v>
      </c>
      <c r="D304" s="727" t="s">
        <v>60</v>
      </c>
      <c r="E304" s="727"/>
      <c r="F304" s="727"/>
      <c r="G304" s="727"/>
      <c r="H304" s="521" t="s">
        <v>127</v>
      </c>
      <c r="I304" s="522" t="s">
        <v>34</v>
      </c>
      <c r="J304" s="1023" t="s">
        <v>1618</v>
      </c>
      <c r="K304" s="522"/>
      <c r="L304" s="523">
        <v>43319</v>
      </c>
      <c r="M304" s="523"/>
      <c r="N304" s="523"/>
      <c r="O304" s="523">
        <v>43367</v>
      </c>
      <c r="P304" s="524">
        <v>4</v>
      </c>
      <c r="Q304" s="524">
        <v>4</v>
      </c>
      <c r="R304" s="525">
        <v>75000</v>
      </c>
      <c r="S304" s="790" t="s">
        <v>1397</v>
      </c>
      <c r="T304" s="527" t="s">
        <v>54</v>
      </c>
      <c r="U304" s="527"/>
      <c r="V304" s="527"/>
      <c r="W304" s="521" t="s">
        <v>1339</v>
      </c>
      <c r="X304" s="114"/>
      <c r="Y304" s="114"/>
      <c r="Z304" s="114"/>
      <c r="AA304" s="114"/>
      <c r="AB304" s="114"/>
      <c r="AC304" s="114"/>
      <c r="AD304" s="303"/>
      <c r="AE304" s="114"/>
      <c r="AF304" s="1360"/>
      <c r="AG304" s="1357"/>
      <c r="AH304" s="1357"/>
      <c r="AI304" s="1357"/>
      <c r="AJ304" s="1357"/>
      <c r="AK304" s="1357"/>
      <c r="AL304" s="1357"/>
      <c r="AM304" s="1357"/>
      <c r="AN304" s="1357"/>
      <c r="AO304" s="1357"/>
      <c r="AP304" s="1357"/>
      <c r="AQ304" s="1357"/>
      <c r="AR304" s="1357"/>
      <c r="AS304" s="1357"/>
      <c r="AT304" s="1357"/>
      <c r="AU304" s="1357"/>
      <c r="AV304" s="1357"/>
      <c r="AW304" s="1357"/>
      <c r="AX304" s="1357"/>
      <c r="AY304" s="1357"/>
    </row>
    <row r="305" spans="1:51" s="281" customFormat="1" ht="69">
      <c r="A305" s="852"/>
      <c r="B305" s="714" t="s">
        <v>48</v>
      </c>
      <c r="C305" s="520" t="s">
        <v>1619</v>
      </c>
      <c r="D305" s="727" t="s">
        <v>60</v>
      </c>
      <c r="E305" s="727"/>
      <c r="F305" s="727"/>
      <c r="G305" s="727"/>
      <c r="H305" s="521" t="s">
        <v>49</v>
      </c>
      <c r="I305" s="522" t="s">
        <v>34</v>
      </c>
      <c r="J305" s="1023" t="s">
        <v>1620</v>
      </c>
      <c r="K305" s="522"/>
      <c r="L305" s="535">
        <v>43283</v>
      </c>
      <c r="M305" s="535"/>
      <c r="N305" s="535"/>
      <c r="O305" s="523">
        <v>43367</v>
      </c>
      <c r="P305" s="524">
        <v>1</v>
      </c>
      <c r="Q305" s="524">
        <v>1</v>
      </c>
      <c r="R305" s="525">
        <v>104000</v>
      </c>
      <c r="S305" s="790" t="s">
        <v>1466</v>
      </c>
      <c r="T305" s="527" t="s">
        <v>54</v>
      </c>
      <c r="U305" s="527"/>
      <c r="V305" s="527"/>
      <c r="W305" s="521" t="s">
        <v>1505</v>
      </c>
      <c r="X305" s="114"/>
      <c r="Y305" s="821"/>
      <c r="Z305" s="114"/>
      <c r="AA305" s="180"/>
      <c r="AB305" s="114"/>
      <c r="AC305" s="114"/>
      <c r="AD305" s="303"/>
      <c r="AE305" s="114"/>
      <c r="AF305" s="1360"/>
      <c r="AG305" s="1357"/>
      <c r="AH305" s="1357"/>
      <c r="AI305" s="1357"/>
      <c r="AJ305" s="1357"/>
      <c r="AK305" s="1357"/>
      <c r="AL305" s="1357"/>
      <c r="AM305" s="1357"/>
      <c r="AN305" s="1357"/>
      <c r="AO305" s="1357"/>
      <c r="AP305" s="1357"/>
      <c r="AQ305" s="1357"/>
      <c r="AR305" s="1357"/>
      <c r="AS305" s="1357"/>
      <c r="AT305" s="1357"/>
      <c r="AU305" s="1357"/>
      <c r="AV305" s="1357"/>
      <c r="AW305" s="1357"/>
      <c r="AX305" s="1357"/>
      <c r="AY305" s="1357"/>
    </row>
    <row r="306" spans="1:51" s="287" customFormat="1" ht="72">
      <c r="A306" s="888"/>
      <c r="B306" s="298"/>
      <c r="C306" s="4" t="s">
        <v>35</v>
      </c>
      <c r="D306" s="31" t="s">
        <v>29</v>
      </c>
      <c r="E306" s="31"/>
      <c r="F306" s="31"/>
      <c r="G306" s="31"/>
      <c r="H306" s="5" t="s">
        <v>81</v>
      </c>
      <c r="I306" s="5" t="s">
        <v>64</v>
      </c>
      <c r="J306" s="16" t="s">
        <v>2969</v>
      </c>
      <c r="K306" s="8"/>
      <c r="L306" s="5" t="e">
        <f>IF(OR(S306=#REF!,S306=#REF!,S306=#REF!,S306=#REF!,S306=#REF!,S306=#REF!,S306=#REF!,S306=#REF!),12,IF(OR(S306=#REF!,S306=#REF!,S306=#REF!,S306=#REF!,S306=#REF!,S306=#REF!,S306=#REF!),3,IF(S306=#REF!,1,IF(S306=#REF!,18,IF(OR(S306=#REF!,S306=#REF!,S306=#REF!,S306=#REF!,S306=#REF!),14,"Invalid proposed procurement method")))))</f>
        <v>#REF!</v>
      </c>
      <c r="M306" s="193" t="str">
        <f>IFERROR(EDATE($N306,-3),"Invalid procurement method or date entered")</f>
        <v>Invalid procurement method or date entered</v>
      </c>
      <c r="N306" s="193" t="str">
        <f>IFERROR(EDATE(O306,-L306),"Invalid procurement method or date entered")</f>
        <v>Invalid procurement method or date entered</v>
      </c>
      <c r="O306" s="176">
        <v>43374</v>
      </c>
      <c r="P306" s="5">
        <v>18</v>
      </c>
      <c r="Q306" s="7" t="s">
        <v>2970</v>
      </c>
      <c r="R306" s="18">
        <v>250000</v>
      </c>
      <c r="S306" s="30" t="s">
        <v>66</v>
      </c>
      <c r="T306" s="48" t="s">
        <v>36</v>
      </c>
      <c r="U306" s="48" t="s">
        <v>37</v>
      </c>
      <c r="V306" s="48"/>
      <c r="W306" s="5" t="s">
        <v>1288</v>
      </c>
      <c r="X306" s="5"/>
      <c r="Y306" s="5" t="s">
        <v>59</v>
      </c>
      <c r="Z306" s="5"/>
      <c r="AA306" s="5" t="s">
        <v>54</v>
      </c>
      <c r="AB306" s="193" t="s">
        <v>37</v>
      </c>
      <c r="AC306" s="8" t="s">
        <v>2971</v>
      </c>
      <c r="AD306" s="20" t="s">
        <v>615</v>
      </c>
      <c r="AE306" s="39">
        <v>100000</v>
      </c>
      <c r="AF306" s="1360"/>
      <c r="AG306" s="1419"/>
      <c r="AH306" s="1419"/>
      <c r="AI306" s="1419"/>
      <c r="AJ306" s="1419"/>
      <c r="AK306" s="1419"/>
      <c r="AL306" s="1419"/>
      <c r="AM306" s="1419"/>
      <c r="AN306" s="1419"/>
      <c r="AO306" s="1419"/>
      <c r="AP306" s="1419"/>
      <c r="AQ306" s="1419"/>
      <c r="AR306" s="1419"/>
      <c r="AS306" s="1419"/>
      <c r="AT306" s="1419"/>
      <c r="AU306" s="1419"/>
      <c r="AV306" s="1419"/>
      <c r="AW306" s="1419"/>
      <c r="AX306" s="1419"/>
      <c r="AY306" s="1419"/>
    </row>
    <row r="307" spans="1:51" s="287" customFormat="1" ht="86.4">
      <c r="A307" s="1363"/>
      <c r="B307" s="260" t="s">
        <v>28</v>
      </c>
      <c r="C307" s="4"/>
      <c r="D307" s="112" t="s">
        <v>29</v>
      </c>
      <c r="E307" s="112"/>
      <c r="F307" s="112"/>
      <c r="G307" s="112"/>
      <c r="H307" s="5" t="s">
        <v>2695</v>
      </c>
      <c r="I307" s="5" t="s">
        <v>34</v>
      </c>
      <c r="J307" s="16" t="s">
        <v>2972</v>
      </c>
      <c r="K307" s="16"/>
      <c r="L307" s="16"/>
      <c r="M307" s="14">
        <v>42736</v>
      </c>
      <c r="N307" s="14"/>
      <c r="O307" s="176">
        <v>43374</v>
      </c>
      <c r="P307" s="12">
        <v>12</v>
      </c>
      <c r="Q307" s="27">
        <v>12</v>
      </c>
      <c r="R307" s="18">
        <v>88000</v>
      </c>
      <c r="S307" s="5" t="s">
        <v>64</v>
      </c>
      <c r="T307" s="12" t="s">
        <v>54</v>
      </c>
      <c r="U307" s="4"/>
      <c r="V307" s="4"/>
      <c r="W307" s="5" t="s">
        <v>2973</v>
      </c>
      <c r="X307" s="5" t="s">
        <v>150</v>
      </c>
      <c r="Y307" s="5" t="s">
        <v>457</v>
      </c>
      <c r="Z307" s="5"/>
      <c r="AA307" s="5"/>
      <c r="AB307" s="193">
        <v>43299</v>
      </c>
      <c r="AC307" s="8" t="s">
        <v>2974</v>
      </c>
      <c r="AD307" s="141"/>
      <c r="AE307" s="17" t="s">
        <v>2975</v>
      </c>
      <c r="AF307" s="1"/>
      <c r="AG307" s="1419"/>
      <c r="AH307" s="1419"/>
      <c r="AI307" s="1419"/>
      <c r="AJ307" s="1419"/>
      <c r="AK307" s="1419"/>
      <c r="AL307" s="1419"/>
      <c r="AM307" s="1419"/>
      <c r="AN307" s="1419"/>
      <c r="AO307" s="1419"/>
      <c r="AP307" s="1419"/>
      <c r="AQ307" s="1419"/>
      <c r="AR307" s="1419"/>
      <c r="AS307" s="1419"/>
      <c r="AT307" s="1419"/>
      <c r="AU307" s="1419"/>
      <c r="AV307" s="1419"/>
      <c r="AW307" s="1419"/>
      <c r="AX307" s="1419"/>
      <c r="AY307" s="1419"/>
    </row>
    <row r="308" spans="1:51" s="281" customFormat="1" ht="86.4">
      <c r="A308" s="454"/>
      <c r="B308" s="260" t="s">
        <v>28</v>
      </c>
      <c r="C308" s="4"/>
      <c r="D308" s="274" t="s">
        <v>29</v>
      </c>
      <c r="E308" s="274"/>
      <c r="F308" s="274"/>
      <c r="G308" s="274"/>
      <c r="H308" s="270" t="s">
        <v>2695</v>
      </c>
      <c r="I308" s="270" t="s">
        <v>64</v>
      </c>
      <c r="J308" s="262" t="s">
        <v>2972</v>
      </c>
      <c r="K308" s="262"/>
      <c r="L308" s="262"/>
      <c r="M308" s="1133">
        <v>42917</v>
      </c>
      <c r="N308" s="1133"/>
      <c r="O308" s="280">
        <v>43374</v>
      </c>
      <c r="P308" s="272">
        <v>48</v>
      </c>
      <c r="Q308" s="279" t="s">
        <v>2976</v>
      </c>
      <c r="R308" s="273">
        <v>88000</v>
      </c>
      <c r="S308" s="263" t="s">
        <v>158</v>
      </c>
      <c r="T308" s="272" t="s">
        <v>54</v>
      </c>
      <c r="U308" s="260"/>
      <c r="V308" s="260"/>
      <c r="W308" s="270" t="s">
        <v>2977</v>
      </c>
      <c r="X308" s="270" t="s">
        <v>150</v>
      </c>
      <c r="Y308" s="270" t="s">
        <v>457</v>
      </c>
      <c r="Z308" s="270"/>
      <c r="AA308" s="270"/>
      <c r="AB308" s="1337">
        <v>43299</v>
      </c>
      <c r="AC308" s="274" t="s">
        <v>2974</v>
      </c>
      <c r="AD308" s="260"/>
      <c r="AE308" s="1256" t="s">
        <v>2975</v>
      </c>
      <c r="AF308" s="1"/>
      <c r="AG308" s="1357"/>
      <c r="AH308" s="1357"/>
      <c r="AI308" s="1357"/>
      <c r="AJ308" s="1357"/>
      <c r="AK308" s="1357"/>
      <c r="AL308" s="1357"/>
      <c r="AM308" s="1357"/>
      <c r="AN308" s="1357"/>
      <c r="AO308" s="1357"/>
      <c r="AP308" s="1357"/>
      <c r="AQ308" s="1357"/>
      <c r="AR308" s="1357"/>
      <c r="AS308" s="1357"/>
      <c r="AT308" s="1357"/>
      <c r="AU308" s="1357"/>
      <c r="AV308" s="1357"/>
      <c r="AW308" s="1357"/>
      <c r="AX308" s="1357"/>
      <c r="AY308" s="1357"/>
    </row>
    <row r="309" spans="1:51" s="281" customFormat="1" ht="84.6" customHeight="1">
      <c r="A309" s="454"/>
      <c r="B309" s="260" t="s">
        <v>28</v>
      </c>
      <c r="C309" s="1347"/>
      <c r="D309" s="112" t="s">
        <v>29</v>
      </c>
      <c r="E309" s="112"/>
      <c r="F309" s="112"/>
      <c r="G309" s="112"/>
      <c r="H309" s="5" t="s">
        <v>81</v>
      </c>
      <c r="I309" s="5" t="s">
        <v>64</v>
      </c>
      <c r="J309" s="16" t="s">
        <v>2978</v>
      </c>
      <c r="K309" s="8"/>
      <c r="L309" s="8"/>
      <c r="M309" s="193">
        <v>43009</v>
      </c>
      <c r="N309" s="193"/>
      <c r="O309" s="193">
        <v>43374</v>
      </c>
      <c r="P309" s="5">
        <v>60</v>
      </c>
      <c r="Q309" s="7" t="s">
        <v>2979</v>
      </c>
      <c r="R309" s="18">
        <v>75000</v>
      </c>
      <c r="S309" s="30" t="s">
        <v>66</v>
      </c>
      <c r="T309" s="11" t="s">
        <v>54</v>
      </c>
      <c r="U309" s="1347"/>
      <c r="V309" s="1347"/>
      <c r="W309" s="5" t="s">
        <v>2799</v>
      </c>
      <c r="X309" s="5" t="s">
        <v>1053</v>
      </c>
      <c r="Y309" s="5" t="s">
        <v>457</v>
      </c>
      <c r="Z309" s="5"/>
      <c r="AA309" s="5"/>
      <c r="AB309" s="193">
        <v>43426</v>
      </c>
      <c r="AC309" s="8" t="s">
        <v>2980</v>
      </c>
      <c r="AD309" s="141"/>
      <c r="AE309" s="39"/>
      <c r="AF309" s="1358"/>
      <c r="AG309" s="1357"/>
      <c r="AH309" s="1357"/>
      <c r="AI309" s="1357"/>
      <c r="AJ309" s="1357"/>
      <c r="AK309" s="1357"/>
      <c r="AL309" s="1357"/>
      <c r="AM309" s="1357"/>
      <c r="AN309" s="1357"/>
      <c r="AO309" s="1357"/>
      <c r="AP309" s="1357"/>
      <c r="AQ309" s="1357"/>
      <c r="AR309" s="1357"/>
      <c r="AS309" s="1357"/>
      <c r="AT309" s="1357"/>
      <c r="AU309" s="1357"/>
      <c r="AV309" s="1357"/>
      <c r="AW309" s="1357"/>
      <c r="AX309" s="1357"/>
      <c r="AY309" s="1357"/>
    </row>
    <row r="310" spans="1:51" s="282" customFormat="1" ht="57.6">
      <c r="A310" s="454"/>
      <c r="B310" s="260" t="s">
        <v>28</v>
      </c>
      <c r="C310" s="4"/>
      <c r="D310" s="112" t="s">
        <v>29</v>
      </c>
      <c r="E310" s="112"/>
      <c r="F310" s="112"/>
      <c r="G310" s="112"/>
      <c r="H310" s="5" t="s">
        <v>70</v>
      </c>
      <c r="I310" s="5" t="s">
        <v>34</v>
      </c>
      <c r="J310" s="257" t="s">
        <v>2981</v>
      </c>
      <c r="K310" s="16"/>
      <c r="L310" s="16"/>
      <c r="M310" s="176">
        <v>43009</v>
      </c>
      <c r="N310" s="176"/>
      <c r="O310" s="176">
        <v>43374</v>
      </c>
      <c r="P310" s="12">
        <v>36</v>
      </c>
      <c r="Q310" s="28" t="s">
        <v>236</v>
      </c>
      <c r="R310" s="39">
        <v>76552</v>
      </c>
      <c r="S310" s="30" t="s">
        <v>2648</v>
      </c>
      <c r="T310" s="12" t="s">
        <v>54</v>
      </c>
      <c r="U310" s="4"/>
      <c r="V310" s="4"/>
      <c r="W310" s="5" t="s">
        <v>2742</v>
      </c>
      <c r="X310" s="5" t="s">
        <v>150</v>
      </c>
      <c r="Y310" s="68" t="s">
        <v>457</v>
      </c>
      <c r="Z310" s="5"/>
      <c r="AA310" s="5"/>
      <c r="AB310" s="193">
        <v>43361</v>
      </c>
      <c r="AC310" s="8" t="s">
        <v>2743</v>
      </c>
      <c r="AD310" s="141"/>
      <c r="AE310" s="17"/>
      <c r="AF310" s="1358"/>
      <c r="AG310" s="1360"/>
      <c r="AH310" s="1360"/>
      <c r="AI310" s="1360"/>
      <c r="AJ310" s="1360"/>
      <c r="AK310" s="1360"/>
      <c r="AL310" s="1360"/>
      <c r="AM310" s="1360"/>
      <c r="AN310" s="1360"/>
      <c r="AO310" s="1360"/>
      <c r="AP310" s="1360"/>
      <c r="AQ310" s="1360"/>
      <c r="AR310" s="1360"/>
      <c r="AS310" s="1360"/>
      <c r="AT310" s="1360"/>
      <c r="AU310" s="1360"/>
      <c r="AV310" s="1360"/>
      <c r="AW310" s="1360"/>
      <c r="AX310" s="1360"/>
      <c r="AY310" s="1360"/>
    </row>
    <row r="311" spans="1:51" s="281" customFormat="1" ht="57.6">
      <c r="A311" s="454"/>
      <c r="B311" s="260" t="s">
        <v>28</v>
      </c>
      <c r="C311" s="260"/>
      <c r="D311" s="274" t="s">
        <v>29</v>
      </c>
      <c r="E311" s="274"/>
      <c r="F311" s="274"/>
      <c r="G311" s="274"/>
      <c r="H311" s="270" t="s">
        <v>70</v>
      </c>
      <c r="I311" s="270" t="s">
        <v>34</v>
      </c>
      <c r="J311" s="262" t="s">
        <v>2981</v>
      </c>
      <c r="K311" s="262"/>
      <c r="L311" s="262"/>
      <c r="M311" s="280">
        <v>43009</v>
      </c>
      <c r="N311" s="280"/>
      <c r="O311" s="280">
        <v>43374</v>
      </c>
      <c r="P311" s="272">
        <v>36</v>
      </c>
      <c r="Q311" s="314" t="s">
        <v>236</v>
      </c>
      <c r="R311" s="273">
        <v>76552</v>
      </c>
      <c r="S311" s="263" t="s">
        <v>2648</v>
      </c>
      <c r="T311" s="272" t="s">
        <v>54</v>
      </c>
      <c r="U311" s="260"/>
      <c r="V311" s="260"/>
      <c r="W311" s="270" t="s">
        <v>2967</v>
      </c>
      <c r="X311" s="68" t="s">
        <v>150</v>
      </c>
      <c r="Y311" s="270" t="s">
        <v>39</v>
      </c>
      <c r="Z311" s="270"/>
      <c r="AA311" s="270"/>
      <c r="AB311" s="193">
        <v>43523</v>
      </c>
      <c r="AC311" s="274" t="s">
        <v>2982</v>
      </c>
      <c r="AD311" s="260"/>
      <c r="AE311" s="1256"/>
      <c r="AF311" s="1360"/>
      <c r="AG311" s="1357"/>
      <c r="AH311" s="1357"/>
      <c r="AI311" s="1357"/>
      <c r="AJ311" s="1357"/>
      <c r="AK311" s="1357"/>
      <c r="AL311" s="1357"/>
      <c r="AM311" s="1357"/>
      <c r="AN311" s="1357"/>
      <c r="AO311" s="1357"/>
      <c r="AP311" s="1357"/>
      <c r="AQ311" s="1357"/>
      <c r="AR311" s="1357"/>
      <c r="AS311" s="1357"/>
      <c r="AT311" s="1357"/>
      <c r="AU311" s="1357"/>
      <c r="AV311" s="1357"/>
      <c r="AW311" s="1357"/>
      <c r="AX311" s="1357"/>
      <c r="AY311" s="1357"/>
    </row>
    <row r="312" spans="1:51" s="1" customFormat="1" ht="28.8">
      <c r="A312" s="852"/>
      <c r="B312" s="260" t="s">
        <v>28</v>
      </c>
      <c r="C312" s="4"/>
      <c r="D312" s="112" t="s">
        <v>29</v>
      </c>
      <c r="E312" s="112"/>
      <c r="F312" s="112"/>
      <c r="G312" s="112"/>
      <c r="H312" s="5" t="s">
        <v>2695</v>
      </c>
      <c r="I312" s="5" t="s">
        <v>34</v>
      </c>
      <c r="J312" s="16" t="s">
        <v>1219</v>
      </c>
      <c r="K312" s="16"/>
      <c r="L312" s="16"/>
      <c r="M312" s="176">
        <v>43040</v>
      </c>
      <c r="N312" s="176"/>
      <c r="O312" s="176">
        <v>43374</v>
      </c>
      <c r="P312" s="12" t="s">
        <v>35</v>
      </c>
      <c r="Q312" s="27" t="s">
        <v>35</v>
      </c>
      <c r="R312" s="18">
        <v>1600</v>
      </c>
      <c r="S312" s="30" t="s">
        <v>2581</v>
      </c>
      <c r="T312" s="12" t="s">
        <v>54</v>
      </c>
      <c r="U312" s="4"/>
      <c r="V312" s="4"/>
      <c r="W312" s="5" t="s">
        <v>89</v>
      </c>
      <c r="X312" s="12" t="s">
        <v>150</v>
      </c>
      <c r="Y312" s="5" t="s">
        <v>457</v>
      </c>
      <c r="Z312" s="5"/>
      <c r="AA312" s="5"/>
      <c r="AB312" s="5"/>
      <c r="AC312" s="8" t="s">
        <v>2983</v>
      </c>
      <c r="AD312" s="141"/>
      <c r="AE312" s="17"/>
      <c r="AF312" s="1360"/>
    </row>
    <row r="313" spans="1:51" s="1" customFormat="1" ht="28.8">
      <c r="A313" s="888"/>
      <c r="B313" s="260" t="s">
        <v>28</v>
      </c>
      <c r="C313" s="4"/>
      <c r="D313" s="141" t="s">
        <v>29</v>
      </c>
      <c r="E313" s="141"/>
      <c r="F313" s="141"/>
      <c r="G313" s="141"/>
      <c r="H313" s="5" t="s">
        <v>70</v>
      </c>
      <c r="I313" s="8" t="s">
        <v>34</v>
      </c>
      <c r="J313" s="16" t="s">
        <v>2687</v>
      </c>
      <c r="K313" s="8"/>
      <c r="L313" s="8"/>
      <c r="M313" s="14">
        <v>43132</v>
      </c>
      <c r="N313" s="14"/>
      <c r="O313" s="14">
        <v>43374</v>
      </c>
      <c r="P313" s="12">
        <v>12</v>
      </c>
      <c r="Q313" s="26">
        <v>12</v>
      </c>
      <c r="R313" s="76">
        <v>7000</v>
      </c>
      <c r="S313" s="30" t="s">
        <v>2688</v>
      </c>
      <c r="T313" s="14" t="s">
        <v>54</v>
      </c>
      <c r="U313" s="4"/>
      <c r="V313" s="4"/>
      <c r="W313" s="5" t="s">
        <v>2691</v>
      </c>
      <c r="X313" s="5" t="s">
        <v>2689</v>
      </c>
      <c r="Y313" s="5" t="s">
        <v>457</v>
      </c>
      <c r="Z313" s="5"/>
      <c r="AA313" s="5"/>
      <c r="AB313" s="13"/>
      <c r="AC313" s="4" t="s">
        <v>2984</v>
      </c>
      <c r="AD313" s="141"/>
      <c r="AE313" s="5"/>
      <c r="AF313" s="1360"/>
    </row>
    <row r="314" spans="1:51" s="281" customFormat="1" ht="57.6">
      <c r="A314" s="888"/>
      <c r="B314" s="278" t="s">
        <v>28</v>
      </c>
      <c r="C314" s="267"/>
      <c r="D314" s="461" t="s">
        <v>29</v>
      </c>
      <c r="E314" s="461"/>
      <c r="F314" s="461"/>
      <c r="G314" s="461"/>
      <c r="H314" s="68" t="s">
        <v>70</v>
      </c>
      <c r="I314" s="68" t="s">
        <v>34</v>
      </c>
      <c r="J314" s="268" t="s">
        <v>2687</v>
      </c>
      <c r="K314" s="259"/>
      <c r="L314" s="259"/>
      <c r="M314" s="310">
        <v>43132</v>
      </c>
      <c r="N314" s="310"/>
      <c r="O314" s="310">
        <v>43374</v>
      </c>
      <c r="P314" s="264">
        <v>12</v>
      </c>
      <c r="Q314" s="307">
        <v>12</v>
      </c>
      <c r="R314" s="269">
        <v>6000</v>
      </c>
      <c r="S314" s="1200" t="s">
        <v>909</v>
      </c>
      <c r="T314" s="310" t="s">
        <v>54</v>
      </c>
      <c r="U314" s="267"/>
      <c r="V314" s="267"/>
      <c r="W314" s="68" t="s">
        <v>2985</v>
      </c>
      <c r="X314" s="68" t="s">
        <v>1097</v>
      </c>
      <c r="Y314" s="68" t="s">
        <v>457</v>
      </c>
      <c r="Z314" s="68"/>
      <c r="AA314" s="68"/>
      <c r="AB314" s="193">
        <v>43341</v>
      </c>
      <c r="AC314" s="849" t="s">
        <v>2986</v>
      </c>
      <c r="AD314" s="734"/>
      <c r="AE314" s="269">
        <v>6000</v>
      </c>
      <c r="AF314" s="1"/>
      <c r="AG314" s="1357"/>
      <c r="AH314" s="1357"/>
      <c r="AI314" s="1357"/>
      <c r="AJ314" s="1357"/>
      <c r="AK314" s="1357"/>
      <c r="AL314" s="1357"/>
      <c r="AM314" s="1357"/>
      <c r="AN314" s="1357"/>
      <c r="AO314" s="1357"/>
      <c r="AP314" s="1357"/>
      <c r="AQ314" s="1357"/>
      <c r="AR314" s="1357"/>
      <c r="AS314" s="1357"/>
      <c r="AT314" s="1357"/>
      <c r="AU314" s="1357"/>
      <c r="AV314" s="1357"/>
      <c r="AW314" s="1357"/>
      <c r="AX314" s="1357"/>
      <c r="AY314" s="1357"/>
    </row>
    <row r="315" spans="1:51" s="282" customFormat="1" ht="43.2">
      <c r="A315" s="888"/>
      <c r="B315" s="260" t="s">
        <v>28</v>
      </c>
      <c r="C315" s="4"/>
      <c r="D315" s="1379" t="s">
        <v>29</v>
      </c>
      <c r="E315" s="1379"/>
      <c r="F315" s="1379"/>
      <c r="G315" s="1379"/>
      <c r="H315" s="1409" t="s">
        <v>70</v>
      </c>
      <c r="I315" s="1380" t="s">
        <v>34</v>
      </c>
      <c r="J315" s="1382" t="s">
        <v>1137</v>
      </c>
      <c r="K315" s="1382"/>
      <c r="L315" s="1382"/>
      <c r="M315" s="1329">
        <v>43208</v>
      </c>
      <c r="N315" s="1329"/>
      <c r="O315" s="1147">
        <v>43374</v>
      </c>
      <c r="P315" s="1359">
        <v>60</v>
      </c>
      <c r="Q315" s="1420" t="s">
        <v>1319</v>
      </c>
      <c r="R315" s="195">
        <v>7500</v>
      </c>
      <c r="S315" s="1355" t="s">
        <v>35</v>
      </c>
      <c r="T315" s="1330" t="s">
        <v>54</v>
      </c>
      <c r="U315" s="4"/>
      <c r="V315" s="4"/>
      <c r="W315" s="1330" t="s">
        <v>2987</v>
      </c>
      <c r="X315" s="1335" t="s">
        <v>2988</v>
      </c>
      <c r="Y315" s="5" t="s">
        <v>457</v>
      </c>
      <c r="Z315" s="5"/>
      <c r="AA315" s="1347"/>
      <c r="AB315" s="193">
        <v>43368</v>
      </c>
      <c r="AC315" s="35" t="s">
        <v>2989</v>
      </c>
      <c r="AD315" s="141"/>
      <c r="AE315" s="1421"/>
      <c r="AF315" s="1360"/>
      <c r="AG315" s="1360"/>
      <c r="AH315" s="1360"/>
      <c r="AI315" s="1360"/>
      <c r="AJ315" s="1360"/>
      <c r="AK315" s="1360"/>
      <c r="AL315" s="1360"/>
      <c r="AM315" s="1360"/>
      <c r="AN315" s="1360"/>
      <c r="AO315" s="1360"/>
      <c r="AP315" s="1360"/>
      <c r="AQ315" s="1360"/>
      <c r="AR315" s="1360"/>
      <c r="AS315" s="1360"/>
      <c r="AT315" s="1360"/>
      <c r="AU315" s="1360"/>
      <c r="AV315" s="1360"/>
      <c r="AW315" s="1360"/>
      <c r="AX315" s="1360"/>
      <c r="AY315" s="1360"/>
    </row>
    <row r="316" spans="1:51" s="1" customFormat="1" ht="43.2">
      <c r="A316" s="888"/>
      <c r="B316" s="260" t="s">
        <v>28</v>
      </c>
      <c r="C316" s="4"/>
      <c r="D316" s="1379" t="s">
        <v>29</v>
      </c>
      <c r="E316" s="1379"/>
      <c r="F316" s="1379"/>
      <c r="G316" s="1379"/>
      <c r="H316" s="1409" t="s">
        <v>70</v>
      </c>
      <c r="I316" s="1380" t="s">
        <v>34</v>
      </c>
      <c r="J316" s="1382" t="s">
        <v>1137</v>
      </c>
      <c r="K316" s="1382"/>
      <c r="L316" s="1382"/>
      <c r="M316" s="1329">
        <v>43208</v>
      </c>
      <c r="N316" s="1329"/>
      <c r="O316" s="90">
        <v>43374</v>
      </c>
      <c r="P316" s="1330">
        <v>60</v>
      </c>
      <c r="Q316" s="1335" t="s">
        <v>1319</v>
      </c>
      <c r="R316" s="18">
        <v>7500</v>
      </c>
      <c r="S316" s="1355" t="s">
        <v>35</v>
      </c>
      <c r="T316" s="1330" t="s">
        <v>54</v>
      </c>
      <c r="U316" s="4"/>
      <c r="V316" s="4"/>
      <c r="W316" s="1330" t="s">
        <v>2987</v>
      </c>
      <c r="X316" s="1335" t="s">
        <v>2988</v>
      </c>
      <c r="Y316" s="68" t="s">
        <v>457</v>
      </c>
      <c r="Z316" s="5"/>
      <c r="AA316" s="1347"/>
      <c r="AB316" s="193">
        <v>43368</v>
      </c>
      <c r="AC316" s="35" t="s">
        <v>2989</v>
      </c>
      <c r="AD316" s="141"/>
      <c r="AE316" s="1421"/>
      <c r="AF316" s="1360"/>
    </row>
    <row r="317" spans="1:51" s="1" customFormat="1" ht="99.75" customHeight="1">
      <c r="A317" s="888"/>
      <c r="B317" s="260" t="s">
        <v>28</v>
      </c>
      <c r="C317" s="4"/>
      <c r="D317" s="1379" t="s">
        <v>29</v>
      </c>
      <c r="E317" s="1379"/>
      <c r="F317" s="1379"/>
      <c r="G317" s="1379"/>
      <c r="H317" s="1330" t="s">
        <v>364</v>
      </c>
      <c r="I317" s="1330" t="s">
        <v>34</v>
      </c>
      <c r="J317" s="1351" t="s">
        <v>2990</v>
      </c>
      <c r="K317" s="1351"/>
      <c r="L317" s="1351"/>
      <c r="M317" s="1347"/>
      <c r="N317" s="1347"/>
      <c r="O317" s="1329">
        <v>43374</v>
      </c>
      <c r="P317" s="1330">
        <v>48</v>
      </c>
      <c r="Q317" s="1330">
        <v>48</v>
      </c>
      <c r="R317" s="1422">
        <v>36000</v>
      </c>
      <c r="S317" s="1330" t="s">
        <v>2961</v>
      </c>
      <c r="T317" s="1330" t="s">
        <v>54</v>
      </c>
      <c r="U317" s="4"/>
      <c r="V317" s="4"/>
      <c r="W317" s="1330" t="s">
        <v>2673</v>
      </c>
      <c r="X317" s="1330" t="s">
        <v>1053</v>
      </c>
      <c r="Y317" s="5" t="s">
        <v>457</v>
      </c>
      <c r="Z317" s="5"/>
      <c r="AA317" s="1382"/>
      <c r="AB317" s="1329">
        <v>43350</v>
      </c>
      <c r="AC317" s="1347"/>
      <c r="AD317" s="1379"/>
      <c r="AE317" s="1347"/>
    </row>
    <row r="318" spans="1:51" s="701" customFormat="1" ht="82.8">
      <c r="A318" s="852"/>
      <c r="B318" s="714" t="s">
        <v>48</v>
      </c>
      <c r="C318" s="536" t="s">
        <v>1612</v>
      </c>
      <c r="D318" s="727" t="s">
        <v>60</v>
      </c>
      <c r="E318" s="727"/>
      <c r="F318" s="727"/>
      <c r="G318" s="727"/>
      <c r="H318" s="521" t="s">
        <v>49</v>
      </c>
      <c r="I318" s="522" t="s">
        <v>34</v>
      </c>
      <c r="J318" s="537" t="s">
        <v>1613</v>
      </c>
      <c r="K318" s="537"/>
      <c r="L318" s="535">
        <v>43318</v>
      </c>
      <c r="M318" s="535"/>
      <c r="N318" s="535"/>
      <c r="O318" s="535">
        <v>43374</v>
      </c>
      <c r="P318" s="524">
        <v>1</v>
      </c>
      <c r="Q318" s="524">
        <v>1</v>
      </c>
      <c r="R318" s="539">
        <v>70000</v>
      </c>
      <c r="S318" s="526" t="s">
        <v>1397</v>
      </c>
      <c r="T318" s="527" t="s">
        <v>54</v>
      </c>
      <c r="U318" s="527"/>
      <c r="V318" s="527"/>
      <c r="W318" s="521" t="s">
        <v>1339</v>
      </c>
      <c r="X318" s="114"/>
      <c r="Y318" s="114"/>
      <c r="Z318" s="114"/>
      <c r="AA318" s="114"/>
      <c r="AB318" s="114"/>
      <c r="AC318" s="180"/>
      <c r="AD318" s="303"/>
      <c r="AE318" s="114"/>
      <c r="AF318" s="1357"/>
      <c r="AG318" s="1357"/>
      <c r="AH318" s="1357"/>
      <c r="AI318" s="1357"/>
      <c r="AJ318" s="1357"/>
      <c r="AK318" s="1357"/>
      <c r="AL318" s="1357"/>
      <c r="AM318" s="1357"/>
      <c r="AN318" s="1357"/>
      <c r="AO318" s="1357"/>
      <c r="AP318" s="1357"/>
      <c r="AQ318" s="1357"/>
      <c r="AR318" s="1357"/>
      <c r="AS318" s="1357"/>
      <c r="AT318" s="1357"/>
      <c r="AU318" s="1357"/>
      <c r="AV318" s="1357"/>
      <c r="AW318" s="1357"/>
      <c r="AX318" s="1357"/>
      <c r="AY318" s="1357"/>
    </row>
    <row r="319" spans="1:51" s="701" customFormat="1" ht="82.8">
      <c r="A319" s="852"/>
      <c r="B319" s="714" t="s">
        <v>48</v>
      </c>
      <c r="C319" s="714" t="s">
        <v>1614</v>
      </c>
      <c r="D319" s="730" t="s">
        <v>60</v>
      </c>
      <c r="E319" s="730"/>
      <c r="F319" s="730"/>
      <c r="G319" s="730"/>
      <c r="H319" s="730" t="s">
        <v>127</v>
      </c>
      <c r="I319" s="740" t="s">
        <v>34</v>
      </c>
      <c r="J319" s="1052" t="s">
        <v>1615</v>
      </c>
      <c r="K319" s="740"/>
      <c r="L319" s="760">
        <v>43314</v>
      </c>
      <c r="M319" s="760"/>
      <c r="N319" s="760"/>
      <c r="O319" s="760">
        <v>43374</v>
      </c>
      <c r="P319" s="766">
        <v>3</v>
      </c>
      <c r="Q319" s="766">
        <v>3</v>
      </c>
      <c r="R319" s="1181">
        <v>250000</v>
      </c>
      <c r="S319" s="795" t="s">
        <v>1397</v>
      </c>
      <c r="T319" s="808" t="s">
        <v>54</v>
      </c>
      <c r="U319" s="808"/>
      <c r="V319" s="808"/>
      <c r="W319" s="730" t="s">
        <v>1616</v>
      </c>
      <c r="X319" s="821"/>
      <c r="Y319" s="297"/>
      <c r="Z319" s="297"/>
      <c r="AA319" s="297"/>
      <c r="AB319" s="114"/>
      <c r="AC319" s="297"/>
      <c r="AD319" s="297"/>
      <c r="AE319" s="297"/>
      <c r="AF319" s="1357"/>
      <c r="AG319" s="1357"/>
      <c r="AH319" s="1357"/>
      <c r="AI319" s="1357"/>
      <c r="AJ319" s="1357"/>
      <c r="AK319" s="1357"/>
      <c r="AL319" s="1357"/>
      <c r="AM319" s="1357"/>
      <c r="AN319" s="1357"/>
      <c r="AO319" s="1357"/>
      <c r="AP319" s="1357"/>
      <c r="AQ319" s="1357"/>
      <c r="AR319" s="1357"/>
      <c r="AS319" s="1357"/>
      <c r="AT319" s="1357"/>
      <c r="AU319" s="1357"/>
      <c r="AV319" s="1357"/>
      <c r="AW319" s="1357"/>
      <c r="AX319" s="1357"/>
      <c r="AY319" s="1357"/>
    </row>
    <row r="320" spans="1:51" s="702" customFormat="1" ht="52.8">
      <c r="A320" s="852"/>
      <c r="B320" s="714" t="s">
        <v>48</v>
      </c>
      <c r="C320" s="544"/>
      <c r="D320" s="554" t="s">
        <v>60</v>
      </c>
      <c r="E320" s="554"/>
      <c r="F320" s="554"/>
      <c r="G320" s="554"/>
      <c r="H320" s="466" t="s">
        <v>127</v>
      </c>
      <c r="I320" s="474" t="s">
        <v>34</v>
      </c>
      <c r="J320" s="549" t="s">
        <v>1682</v>
      </c>
      <c r="K320" s="484"/>
      <c r="L320" s="545">
        <v>43315</v>
      </c>
      <c r="M320" s="545"/>
      <c r="N320" s="545"/>
      <c r="O320" s="545">
        <v>43374</v>
      </c>
      <c r="P320" s="471">
        <v>2</v>
      </c>
      <c r="Q320" s="761">
        <v>2</v>
      </c>
      <c r="R320" s="550">
        <v>200000</v>
      </c>
      <c r="S320" s="791" t="s">
        <v>1663</v>
      </c>
      <c r="T320" s="473" t="s">
        <v>54</v>
      </c>
      <c r="U320" s="473"/>
      <c r="V320" s="473"/>
      <c r="W320" s="474" t="s">
        <v>1592</v>
      </c>
      <c r="X320" s="114"/>
      <c r="Y320" s="114"/>
      <c r="Z320" s="114"/>
      <c r="AA320" s="114"/>
      <c r="AB320" s="114"/>
      <c r="AC320" s="114"/>
      <c r="AD320" s="303"/>
      <c r="AE320" s="114"/>
      <c r="AF320" s="1357"/>
      <c r="AG320" s="1360"/>
      <c r="AH320" s="1360"/>
      <c r="AI320" s="1360"/>
      <c r="AJ320" s="1360"/>
      <c r="AK320" s="1360"/>
      <c r="AL320" s="1360"/>
      <c r="AM320" s="1360"/>
      <c r="AN320" s="1360"/>
      <c r="AO320" s="1360"/>
      <c r="AP320" s="1360"/>
      <c r="AQ320" s="1360"/>
      <c r="AR320" s="1360"/>
      <c r="AS320" s="1360"/>
      <c r="AT320" s="1360"/>
      <c r="AU320" s="1360"/>
      <c r="AV320" s="1360"/>
      <c r="AW320" s="1360"/>
      <c r="AX320" s="1360"/>
      <c r="AY320" s="1360"/>
    </row>
    <row r="321" spans="1:51" s="282" customFormat="1" ht="42.75" customHeight="1">
      <c r="A321" s="852"/>
      <c r="B321" s="714" t="s">
        <v>48</v>
      </c>
      <c r="C321" s="465" t="s">
        <v>188</v>
      </c>
      <c r="D321" s="554" t="s">
        <v>60</v>
      </c>
      <c r="E321" s="554"/>
      <c r="F321" s="554"/>
      <c r="G321" s="554"/>
      <c r="H321" s="466" t="s">
        <v>127</v>
      </c>
      <c r="I321" s="465" t="s">
        <v>34</v>
      </c>
      <c r="J321" s="1025" t="s">
        <v>1806</v>
      </c>
      <c r="K321" s="488"/>
      <c r="L321" s="560">
        <v>43374</v>
      </c>
      <c r="M321" s="560"/>
      <c r="N321" s="560"/>
      <c r="O321" s="560">
        <v>43374</v>
      </c>
      <c r="P321" s="490">
        <v>20</v>
      </c>
      <c r="Q321" s="763">
        <v>20</v>
      </c>
      <c r="R321" s="542">
        <v>170000</v>
      </c>
      <c r="S321" s="794" t="s">
        <v>217</v>
      </c>
      <c r="T321" s="558" t="s">
        <v>54</v>
      </c>
      <c r="U321" s="558"/>
      <c r="V321" s="558"/>
      <c r="W321" s="465" t="s">
        <v>1807</v>
      </c>
      <c r="X321" s="114"/>
      <c r="Y321" s="821"/>
      <c r="Z321" s="114"/>
      <c r="AA321" s="114"/>
      <c r="AB321" s="114"/>
      <c r="AC321" s="114"/>
      <c r="AD321" s="303"/>
      <c r="AE321" s="114"/>
      <c r="AF321" s="1357"/>
      <c r="AG321" s="1360"/>
      <c r="AH321" s="1360"/>
      <c r="AI321" s="1360"/>
      <c r="AJ321" s="1360"/>
      <c r="AK321" s="1360"/>
      <c r="AL321" s="1360"/>
      <c r="AM321" s="1360"/>
      <c r="AN321" s="1360"/>
      <c r="AO321" s="1360"/>
      <c r="AP321" s="1360"/>
      <c r="AQ321" s="1360"/>
      <c r="AR321" s="1360"/>
      <c r="AS321" s="1360"/>
      <c r="AT321" s="1360"/>
      <c r="AU321" s="1360"/>
      <c r="AV321" s="1360"/>
      <c r="AW321" s="1360"/>
      <c r="AX321" s="1360"/>
      <c r="AY321" s="1360"/>
    </row>
    <row r="322" spans="1:51" s="1" customFormat="1" ht="86.4" customHeight="1">
      <c r="A322" s="1061">
        <v>44974</v>
      </c>
      <c r="B322" s="1064" t="s">
        <v>210</v>
      </c>
      <c r="C322" s="1072" t="s">
        <v>2991</v>
      </c>
      <c r="D322" s="1021" t="s">
        <v>319</v>
      </c>
      <c r="E322" s="1020" t="s">
        <v>210</v>
      </c>
      <c r="F322" s="1020" t="s">
        <v>190</v>
      </c>
      <c r="G322" s="1020" t="s">
        <v>190</v>
      </c>
      <c r="H322" s="1066" t="s">
        <v>190</v>
      </c>
      <c r="I322" s="1066" t="s">
        <v>190</v>
      </c>
      <c r="J322" s="1095" t="s">
        <v>2992</v>
      </c>
      <c r="K322" s="1072" t="s">
        <v>2993</v>
      </c>
      <c r="L322" s="1066" t="s">
        <v>190</v>
      </c>
      <c r="M322" s="1066" t="s">
        <v>190</v>
      </c>
      <c r="N322" s="1066" t="s">
        <v>190</v>
      </c>
      <c r="O322" s="1142">
        <v>43381</v>
      </c>
      <c r="P322" s="1142">
        <v>44842</v>
      </c>
      <c r="Q322" s="1153">
        <v>45206</v>
      </c>
      <c r="R322" s="1176">
        <v>750000</v>
      </c>
      <c r="S322" s="1021" t="s">
        <v>2994</v>
      </c>
      <c r="T322" s="1066" t="s">
        <v>190</v>
      </c>
      <c r="U322" s="1066" t="s">
        <v>190</v>
      </c>
      <c r="V322" s="1066"/>
      <c r="W322" s="1072" t="s">
        <v>322</v>
      </c>
      <c r="X322" s="1072" t="s">
        <v>1346</v>
      </c>
      <c r="Y322" s="1225" t="s">
        <v>1266</v>
      </c>
      <c r="Z322" s="1066" t="s">
        <v>190</v>
      </c>
      <c r="AA322" s="1066" t="s">
        <v>190</v>
      </c>
      <c r="AB322" s="1066" t="s">
        <v>190</v>
      </c>
      <c r="AC322" s="1095" t="s">
        <v>2995</v>
      </c>
      <c r="AD322" s="1020" t="s">
        <v>190</v>
      </c>
      <c r="AE322" s="1176">
        <v>750000</v>
      </c>
      <c r="AF322"/>
    </row>
    <row r="323" spans="1:51" s="289" customFormat="1" ht="15.6">
      <c r="A323" s="1061">
        <v>44974</v>
      </c>
      <c r="B323" s="1064" t="s">
        <v>210</v>
      </c>
      <c r="C323" s="1072" t="s">
        <v>2991</v>
      </c>
      <c r="D323" s="1021" t="s">
        <v>319</v>
      </c>
      <c r="E323" s="1020" t="s">
        <v>210</v>
      </c>
      <c r="F323" s="1020" t="s">
        <v>190</v>
      </c>
      <c r="G323" s="1020" t="s">
        <v>190</v>
      </c>
      <c r="H323" s="1066" t="s">
        <v>190</v>
      </c>
      <c r="I323" s="1066" t="s">
        <v>190</v>
      </c>
      <c r="J323" s="1095" t="s">
        <v>2992</v>
      </c>
      <c r="K323" s="1072" t="s">
        <v>2993</v>
      </c>
      <c r="L323" s="1066" t="s">
        <v>190</v>
      </c>
      <c r="M323" s="1066" t="s">
        <v>190</v>
      </c>
      <c r="N323" s="1066" t="s">
        <v>190</v>
      </c>
      <c r="O323" s="1142">
        <v>43381</v>
      </c>
      <c r="P323" s="1142">
        <v>45016</v>
      </c>
      <c r="Q323" s="1075" t="s">
        <v>100</v>
      </c>
      <c r="R323" s="1176">
        <v>750000</v>
      </c>
      <c r="S323" s="1021" t="s">
        <v>2994</v>
      </c>
      <c r="T323" s="1066" t="s">
        <v>190</v>
      </c>
      <c r="U323" s="1066" t="s">
        <v>190</v>
      </c>
      <c r="V323" s="1066"/>
      <c r="W323" s="1072" t="s">
        <v>322</v>
      </c>
      <c r="X323" s="1072" t="s">
        <v>1346</v>
      </c>
      <c r="Y323" s="1072" t="s">
        <v>1266</v>
      </c>
      <c r="Z323" s="1066" t="s">
        <v>190</v>
      </c>
      <c r="AA323" s="1066" t="s">
        <v>190</v>
      </c>
      <c r="AB323" s="1066" t="s">
        <v>190</v>
      </c>
      <c r="AC323" s="1095" t="s">
        <v>2996</v>
      </c>
      <c r="AD323" s="1020" t="s">
        <v>190</v>
      </c>
      <c r="AE323" s="1176">
        <v>750000</v>
      </c>
      <c r="AF323"/>
      <c r="AG323" s="1"/>
      <c r="AH323" s="1"/>
      <c r="AI323" s="1"/>
      <c r="AJ323" s="1"/>
      <c r="AK323" s="1"/>
      <c r="AL323" s="1"/>
      <c r="AM323" s="1"/>
      <c r="AN323" s="1"/>
      <c r="AO323" s="1"/>
      <c r="AP323" s="1"/>
      <c r="AQ323" s="1"/>
      <c r="AR323" s="1"/>
      <c r="AS323" s="1"/>
      <c r="AT323" s="1"/>
      <c r="AU323" s="1"/>
      <c r="AV323" s="1"/>
      <c r="AW323" s="1"/>
      <c r="AX323" s="1"/>
      <c r="AY323" s="1"/>
    </row>
    <row r="324" spans="1:51" s="702" customFormat="1" ht="43.2">
      <c r="A324" s="888"/>
      <c r="B324" s="260" t="s">
        <v>28</v>
      </c>
      <c r="C324" s="4"/>
      <c r="D324" s="112" t="s">
        <v>29</v>
      </c>
      <c r="E324" s="112"/>
      <c r="F324" s="112"/>
      <c r="G324" s="112"/>
      <c r="H324" s="5" t="s">
        <v>70</v>
      </c>
      <c r="I324" s="5" t="s">
        <v>64</v>
      </c>
      <c r="J324" s="16" t="s">
        <v>2697</v>
      </c>
      <c r="K324" s="16"/>
      <c r="L324" s="16"/>
      <c r="M324" s="176">
        <v>43191</v>
      </c>
      <c r="N324" s="176"/>
      <c r="O324" s="176">
        <v>43393</v>
      </c>
      <c r="P324" s="12">
        <v>120</v>
      </c>
      <c r="Q324" s="25" t="s">
        <v>2997</v>
      </c>
      <c r="R324" s="18">
        <v>184465</v>
      </c>
      <c r="S324" s="30" t="s">
        <v>98</v>
      </c>
      <c r="T324" s="12" t="s">
        <v>54</v>
      </c>
      <c r="U324" s="4"/>
      <c r="V324" s="4"/>
      <c r="W324" s="5" t="s">
        <v>2998</v>
      </c>
      <c r="X324" s="5" t="s">
        <v>1053</v>
      </c>
      <c r="Y324" s="68" t="s">
        <v>457</v>
      </c>
      <c r="Z324" s="5"/>
      <c r="AA324" s="5"/>
      <c r="AB324" s="193">
        <v>43308</v>
      </c>
      <c r="AC324" s="35" t="s">
        <v>2999</v>
      </c>
      <c r="AD324" s="141"/>
      <c r="AE324" s="17">
        <v>12600</v>
      </c>
      <c r="AF324" s="1357"/>
      <c r="AG324" s="1360"/>
      <c r="AH324" s="1360"/>
      <c r="AI324" s="1360"/>
      <c r="AJ324" s="1360"/>
      <c r="AK324" s="1360"/>
      <c r="AL324" s="1360"/>
      <c r="AM324" s="1360"/>
      <c r="AN324" s="1360"/>
      <c r="AO324" s="1360"/>
      <c r="AP324" s="1360"/>
      <c r="AQ324" s="1360"/>
      <c r="AR324" s="1360"/>
      <c r="AS324" s="1360"/>
      <c r="AT324" s="1360"/>
      <c r="AU324" s="1360"/>
      <c r="AV324" s="1360"/>
      <c r="AW324" s="1360"/>
      <c r="AX324" s="1360"/>
      <c r="AY324" s="1360"/>
    </row>
    <row r="325" spans="1:51" s="701" customFormat="1" ht="15" customHeight="1">
      <c r="A325" s="888"/>
      <c r="B325" s="260" t="s">
        <v>28</v>
      </c>
      <c r="C325" s="4"/>
      <c r="D325" s="112" t="s">
        <v>29</v>
      </c>
      <c r="E325" s="112"/>
      <c r="F325" s="112"/>
      <c r="G325" s="112"/>
      <c r="H325" s="5" t="s">
        <v>70</v>
      </c>
      <c r="I325" s="5" t="s">
        <v>34</v>
      </c>
      <c r="J325" s="16" t="s">
        <v>2701</v>
      </c>
      <c r="K325" s="16"/>
      <c r="L325" s="16"/>
      <c r="M325" s="14">
        <v>43252</v>
      </c>
      <c r="N325" s="14"/>
      <c r="O325" s="176">
        <v>43394</v>
      </c>
      <c r="P325" s="12">
        <v>12</v>
      </c>
      <c r="Q325" s="5">
        <v>12</v>
      </c>
      <c r="R325" s="18">
        <v>21962.19</v>
      </c>
      <c r="S325" s="30" t="s">
        <v>66</v>
      </c>
      <c r="T325" s="12" t="s">
        <v>110</v>
      </c>
      <c r="U325" s="4"/>
      <c r="V325" s="4"/>
      <c r="W325" s="5" t="s">
        <v>113</v>
      </c>
      <c r="X325" s="5" t="s">
        <v>150</v>
      </c>
      <c r="Y325" s="5" t="s">
        <v>457</v>
      </c>
      <c r="Z325" s="5"/>
      <c r="AA325" s="17"/>
      <c r="AB325" s="193">
        <v>43388</v>
      </c>
      <c r="AC325" s="8" t="s">
        <v>3000</v>
      </c>
      <c r="AD325" s="141"/>
      <c r="AE325" s="12"/>
      <c r="AF325" s="1357"/>
      <c r="AG325" s="1357"/>
      <c r="AH325" s="1357"/>
      <c r="AI325" s="1357"/>
      <c r="AJ325" s="1357"/>
      <c r="AK325" s="1357"/>
      <c r="AL325" s="1357"/>
      <c r="AM325" s="1357"/>
      <c r="AN325" s="1357"/>
      <c r="AO325" s="1357"/>
      <c r="AP325" s="1357"/>
      <c r="AQ325" s="1357"/>
      <c r="AR325" s="1357"/>
      <c r="AS325" s="1357"/>
      <c r="AT325" s="1357"/>
      <c r="AU325" s="1357"/>
      <c r="AV325" s="1357"/>
      <c r="AW325" s="1357"/>
      <c r="AX325" s="1357"/>
      <c r="AY325" s="1357"/>
    </row>
    <row r="326" spans="1:51" s="282" customFormat="1" ht="28.8">
      <c r="A326" s="888"/>
      <c r="B326" s="260" t="s">
        <v>28</v>
      </c>
      <c r="C326" s="4"/>
      <c r="D326" s="112" t="s">
        <v>29</v>
      </c>
      <c r="E326" s="112"/>
      <c r="F326" s="112"/>
      <c r="G326" s="112"/>
      <c r="H326" s="5" t="s">
        <v>70</v>
      </c>
      <c r="I326" s="5" t="s">
        <v>34</v>
      </c>
      <c r="J326" s="16" t="s">
        <v>2701</v>
      </c>
      <c r="K326" s="16"/>
      <c r="L326" s="16"/>
      <c r="M326" s="14">
        <v>43252</v>
      </c>
      <c r="N326" s="14"/>
      <c r="O326" s="176">
        <v>43394</v>
      </c>
      <c r="P326" s="12">
        <v>12</v>
      </c>
      <c r="Q326" s="5">
        <v>12</v>
      </c>
      <c r="R326" s="18">
        <v>21962.19</v>
      </c>
      <c r="S326" s="30" t="s">
        <v>66</v>
      </c>
      <c r="T326" s="12" t="s">
        <v>110</v>
      </c>
      <c r="U326" s="4"/>
      <c r="V326" s="4"/>
      <c r="W326" s="5" t="s">
        <v>113</v>
      </c>
      <c r="X326" s="5" t="s">
        <v>150</v>
      </c>
      <c r="Y326" s="5" t="s">
        <v>457</v>
      </c>
      <c r="Z326" s="5"/>
      <c r="AA326" s="17"/>
      <c r="AB326" s="193">
        <v>43388</v>
      </c>
      <c r="AC326" s="8" t="s">
        <v>3000</v>
      </c>
      <c r="AD326" s="141"/>
      <c r="AE326" s="12"/>
      <c r="AF326" s="1419"/>
      <c r="AG326" s="1360"/>
      <c r="AH326" s="1360"/>
      <c r="AI326" s="1360"/>
      <c r="AJ326" s="1360"/>
      <c r="AK326" s="1360"/>
      <c r="AL326" s="1360"/>
      <c r="AM326" s="1360"/>
      <c r="AN326" s="1360"/>
      <c r="AO326" s="1360"/>
      <c r="AP326" s="1360"/>
      <c r="AQ326" s="1360"/>
      <c r="AR326" s="1360"/>
      <c r="AS326" s="1360"/>
      <c r="AT326" s="1360"/>
      <c r="AU326" s="1360"/>
      <c r="AV326" s="1360"/>
      <c r="AW326" s="1360"/>
      <c r="AX326" s="1360"/>
      <c r="AY326" s="1360"/>
    </row>
    <row r="327" spans="1:51" s="701" customFormat="1" ht="15" customHeight="1">
      <c r="A327" s="852"/>
      <c r="B327" s="714" t="s">
        <v>48</v>
      </c>
      <c r="C327" s="465" t="s">
        <v>1661</v>
      </c>
      <c r="D327" s="554" t="s">
        <v>60</v>
      </c>
      <c r="E327" s="554"/>
      <c r="F327" s="554"/>
      <c r="G327" s="554"/>
      <c r="H327" s="466" t="s">
        <v>127</v>
      </c>
      <c r="I327" s="474" t="s">
        <v>34</v>
      </c>
      <c r="J327" s="1024" t="s">
        <v>1662</v>
      </c>
      <c r="K327" s="467"/>
      <c r="L327" s="540">
        <v>43313</v>
      </c>
      <c r="M327" s="540"/>
      <c r="N327" s="540"/>
      <c r="O327" s="540">
        <v>43402</v>
      </c>
      <c r="P327" s="1151">
        <v>4</v>
      </c>
      <c r="Q327" s="1170">
        <v>4</v>
      </c>
      <c r="R327" s="777">
        <v>500000</v>
      </c>
      <c r="S327" s="791" t="s">
        <v>1663</v>
      </c>
      <c r="T327" s="470" t="s">
        <v>54</v>
      </c>
      <c r="U327" s="470"/>
      <c r="V327" s="470"/>
      <c r="W327" s="810" t="s">
        <v>1514</v>
      </c>
      <c r="X327" s="297"/>
      <c r="Y327" s="303"/>
      <c r="Z327" s="114"/>
      <c r="AA327" s="180"/>
      <c r="AB327" s="114"/>
      <c r="AC327" s="114"/>
      <c r="AD327" s="303"/>
      <c r="AE327" s="114"/>
      <c r="AF327" s="1419"/>
      <c r="AG327" s="1357"/>
      <c r="AH327" s="1357"/>
      <c r="AI327" s="1357"/>
      <c r="AJ327" s="1357"/>
      <c r="AK327" s="1357"/>
      <c r="AL327" s="1357"/>
      <c r="AM327" s="1357"/>
      <c r="AN327" s="1357"/>
      <c r="AO327" s="1357"/>
      <c r="AP327" s="1357"/>
      <c r="AQ327" s="1357"/>
      <c r="AR327" s="1357"/>
      <c r="AS327" s="1357"/>
      <c r="AT327" s="1357"/>
      <c r="AU327" s="1357"/>
      <c r="AV327" s="1357"/>
      <c r="AW327" s="1357"/>
      <c r="AX327" s="1357"/>
      <c r="AY327" s="1357"/>
    </row>
    <row r="328" spans="1:51" s="702" customFormat="1" ht="144">
      <c r="A328" s="894"/>
      <c r="B328" s="260" t="s">
        <v>28</v>
      </c>
      <c r="C328" s="10"/>
      <c r="D328" s="112" t="s">
        <v>29</v>
      </c>
      <c r="E328" s="112"/>
      <c r="F328" s="112"/>
      <c r="G328" s="112"/>
      <c r="H328" s="5" t="s">
        <v>70</v>
      </c>
      <c r="I328" s="5" t="s">
        <v>34</v>
      </c>
      <c r="J328" s="16" t="s">
        <v>3001</v>
      </c>
      <c r="K328" s="16"/>
      <c r="L328" s="16"/>
      <c r="M328" s="176">
        <v>42826</v>
      </c>
      <c r="N328" s="176"/>
      <c r="O328" s="212">
        <v>43405</v>
      </c>
      <c r="P328" s="196">
        <v>60</v>
      </c>
      <c r="Q328" s="775" t="s">
        <v>358</v>
      </c>
      <c r="R328" s="195">
        <v>256000</v>
      </c>
      <c r="S328" s="30" t="s">
        <v>98</v>
      </c>
      <c r="T328" s="12" t="s">
        <v>54</v>
      </c>
      <c r="U328" s="10"/>
      <c r="V328" s="10"/>
      <c r="W328" s="5" t="s">
        <v>923</v>
      </c>
      <c r="X328" s="5" t="s">
        <v>1091</v>
      </c>
      <c r="Y328" s="5" t="s">
        <v>457</v>
      </c>
      <c r="Z328" s="5"/>
      <c r="AA328" s="5"/>
      <c r="AB328" s="193">
        <v>43570</v>
      </c>
      <c r="AC328" s="8" t="s">
        <v>3002</v>
      </c>
      <c r="AD328" s="141"/>
      <c r="AE328" s="39" t="s">
        <v>1098</v>
      </c>
      <c r="AF328" s="1357"/>
      <c r="AG328" s="1360"/>
      <c r="AH328" s="1360"/>
      <c r="AI328" s="1360"/>
      <c r="AJ328" s="1360"/>
      <c r="AK328" s="1360"/>
      <c r="AL328" s="1360"/>
      <c r="AM328" s="1360"/>
      <c r="AN328" s="1360"/>
      <c r="AO328" s="1360"/>
      <c r="AP328" s="1360"/>
      <c r="AQ328" s="1360"/>
      <c r="AR328" s="1360"/>
      <c r="AS328" s="1360"/>
      <c r="AT328" s="1360"/>
      <c r="AU328" s="1360"/>
      <c r="AV328" s="1360"/>
      <c r="AW328" s="1360"/>
      <c r="AX328" s="1360"/>
      <c r="AY328" s="1360"/>
    </row>
    <row r="329" spans="1:51" s="282" customFormat="1" ht="97.35" customHeight="1">
      <c r="A329" s="852"/>
      <c r="B329" s="260" t="s">
        <v>28</v>
      </c>
      <c r="C329" s="4"/>
      <c r="D329" s="112" t="s">
        <v>29</v>
      </c>
      <c r="E329" s="112"/>
      <c r="F329" s="112"/>
      <c r="G329" s="112"/>
      <c r="H329" s="5" t="s">
        <v>70</v>
      </c>
      <c r="I329" s="5" t="s">
        <v>64</v>
      </c>
      <c r="J329" s="16" t="s">
        <v>3003</v>
      </c>
      <c r="K329" s="16"/>
      <c r="L329" s="16"/>
      <c r="M329" s="176">
        <v>43040</v>
      </c>
      <c r="N329" s="176"/>
      <c r="O329" s="176">
        <v>43405</v>
      </c>
      <c r="P329" s="12">
        <v>12</v>
      </c>
      <c r="Q329" s="28" t="s">
        <v>108</v>
      </c>
      <c r="R329" s="18">
        <v>15900</v>
      </c>
      <c r="S329" s="30" t="s">
        <v>2615</v>
      </c>
      <c r="T329" s="12" t="s">
        <v>54</v>
      </c>
      <c r="U329" s="4"/>
      <c r="V329" s="4"/>
      <c r="W329" s="5" t="s">
        <v>286</v>
      </c>
      <c r="X329" s="5" t="s">
        <v>2585</v>
      </c>
      <c r="Y329" s="5" t="s">
        <v>457</v>
      </c>
      <c r="Z329" s="5"/>
      <c r="AA329" s="5"/>
      <c r="AB329" s="7"/>
      <c r="AC329" s="8" t="s">
        <v>3004</v>
      </c>
      <c r="AD329" s="141"/>
      <c r="AE329" s="17"/>
      <c r="AF329" s="1357"/>
      <c r="AG329" s="1360"/>
      <c r="AH329" s="1360"/>
      <c r="AI329" s="1360"/>
      <c r="AJ329" s="1360"/>
      <c r="AK329" s="1360"/>
      <c r="AL329" s="1360"/>
      <c r="AM329" s="1360"/>
      <c r="AN329" s="1360"/>
      <c r="AO329" s="1360"/>
      <c r="AP329" s="1360"/>
      <c r="AQ329" s="1360"/>
      <c r="AR329" s="1360"/>
      <c r="AS329" s="1360"/>
      <c r="AT329" s="1360"/>
      <c r="AU329" s="1360"/>
      <c r="AV329" s="1360"/>
      <c r="AW329" s="1360"/>
      <c r="AX329" s="1360"/>
      <c r="AY329" s="1360"/>
    </row>
    <row r="330" spans="1:51" s="282" customFormat="1" ht="59.25" customHeight="1">
      <c r="A330" s="888"/>
      <c r="B330" s="260" t="s">
        <v>28</v>
      </c>
      <c r="C330" s="4"/>
      <c r="D330" s="112" t="s">
        <v>60</v>
      </c>
      <c r="E330" s="112"/>
      <c r="F330" s="112"/>
      <c r="G330" s="112"/>
      <c r="H330" s="5" t="s">
        <v>3005</v>
      </c>
      <c r="I330" s="5" t="s">
        <v>34</v>
      </c>
      <c r="J330" s="16" t="s">
        <v>3006</v>
      </c>
      <c r="K330" s="16"/>
      <c r="L330" s="16"/>
      <c r="M330" s="14">
        <v>43103</v>
      </c>
      <c r="N330" s="14"/>
      <c r="O330" s="176">
        <v>43405</v>
      </c>
      <c r="P330" s="12">
        <v>60</v>
      </c>
      <c r="Q330" s="26" t="s">
        <v>358</v>
      </c>
      <c r="R330" s="18">
        <v>231600</v>
      </c>
      <c r="S330" s="30" t="s">
        <v>1163</v>
      </c>
      <c r="T330" s="14" t="s">
        <v>54</v>
      </c>
      <c r="U330" s="4"/>
      <c r="V330" s="4"/>
      <c r="W330" s="5" t="s">
        <v>3007</v>
      </c>
      <c r="X330" s="5" t="s">
        <v>1091</v>
      </c>
      <c r="Y330" s="5" t="s">
        <v>457</v>
      </c>
      <c r="Z330" s="5"/>
      <c r="AA330" s="5"/>
      <c r="AB330" s="193">
        <v>43475</v>
      </c>
      <c r="AC330" s="8" t="s">
        <v>2926</v>
      </c>
      <c r="AD330" s="141"/>
      <c r="AE330" s="18" t="s">
        <v>668</v>
      </c>
      <c r="AF330" s="1360"/>
      <c r="AG330" s="1360"/>
      <c r="AH330" s="1360"/>
      <c r="AI330" s="1360"/>
      <c r="AJ330" s="1360"/>
      <c r="AK330" s="1360"/>
      <c r="AL330" s="1360"/>
      <c r="AM330" s="1360"/>
      <c r="AN330" s="1360"/>
      <c r="AO330" s="1360"/>
      <c r="AP330" s="1360"/>
      <c r="AQ330" s="1360"/>
      <c r="AR330" s="1360"/>
      <c r="AS330" s="1360"/>
      <c r="AT330" s="1360"/>
      <c r="AU330" s="1360"/>
      <c r="AV330" s="1360"/>
      <c r="AW330" s="1360"/>
      <c r="AX330" s="1360"/>
      <c r="AY330" s="1360"/>
    </row>
    <row r="331" spans="1:51" s="282" customFormat="1" ht="207" customHeight="1">
      <c r="A331" s="888"/>
      <c r="B331" s="260" t="s">
        <v>28</v>
      </c>
      <c r="C331" s="4"/>
      <c r="D331" s="112" t="s">
        <v>29</v>
      </c>
      <c r="E331" s="112"/>
      <c r="F331" s="112"/>
      <c r="G331" s="112"/>
      <c r="H331" s="5" t="s">
        <v>133</v>
      </c>
      <c r="I331" s="5" t="s">
        <v>34</v>
      </c>
      <c r="J331" s="16" t="s">
        <v>826</v>
      </c>
      <c r="K331" s="8"/>
      <c r="L331" s="8"/>
      <c r="M331" s="176">
        <v>43132</v>
      </c>
      <c r="N331" s="176"/>
      <c r="O331" s="176">
        <v>43405</v>
      </c>
      <c r="P331" s="12">
        <v>48</v>
      </c>
      <c r="Q331" s="13" t="s">
        <v>191</v>
      </c>
      <c r="R331" s="18">
        <v>500000</v>
      </c>
      <c r="S331" s="5" t="s">
        <v>1163</v>
      </c>
      <c r="T331" s="12" t="s">
        <v>110</v>
      </c>
      <c r="U331" s="4"/>
      <c r="V331" s="4"/>
      <c r="W331" s="5" t="s">
        <v>828</v>
      </c>
      <c r="X331" s="5" t="s">
        <v>184</v>
      </c>
      <c r="Y331" s="5" t="s">
        <v>457</v>
      </c>
      <c r="Z331" s="5"/>
      <c r="AA331" s="1232"/>
      <c r="AB331" s="193">
        <v>43388</v>
      </c>
      <c r="AC331" s="35" t="s">
        <v>3008</v>
      </c>
      <c r="AD331" s="141"/>
      <c r="AE331" s="5"/>
      <c r="AF331" s="1357"/>
      <c r="AG331" s="1360"/>
      <c r="AH331" s="1360"/>
      <c r="AI331" s="1360"/>
      <c r="AJ331" s="1360"/>
      <c r="AK331" s="1360"/>
      <c r="AL331" s="1360"/>
      <c r="AM331" s="1360"/>
      <c r="AN331" s="1360"/>
      <c r="AO331" s="1360"/>
      <c r="AP331" s="1360"/>
      <c r="AQ331" s="1360"/>
      <c r="AR331" s="1360"/>
      <c r="AS331" s="1360"/>
      <c r="AT331" s="1360"/>
      <c r="AU331" s="1360"/>
      <c r="AV331" s="1360"/>
      <c r="AW331" s="1360"/>
      <c r="AX331" s="1360"/>
      <c r="AY331" s="1360"/>
    </row>
    <row r="332" spans="1:51" s="1" customFormat="1" ht="72">
      <c r="A332" s="888"/>
      <c r="B332" s="260" t="s">
        <v>28</v>
      </c>
      <c r="C332" s="4"/>
      <c r="D332" s="112" t="s">
        <v>60</v>
      </c>
      <c r="E332" s="112"/>
      <c r="F332" s="112"/>
      <c r="G332" s="112"/>
      <c r="H332" s="5" t="s">
        <v>70</v>
      </c>
      <c r="I332" s="5" t="s">
        <v>34</v>
      </c>
      <c r="J332" s="16" t="s">
        <v>2703</v>
      </c>
      <c r="K332" s="8"/>
      <c r="L332" s="8"/>
      <c r="M332" s="14">
        <v>43252</v>
      </c>
      <c r="N332" s="14"/>
      <c r="O332" s="14">
        <v>43405</v>
      </c>
      <c r="P332" s="12">
        <v>12</v>
      </c>
      <c r="Q332" s="26">
        <v>12</v>
      </c>
      <c r="R332" s="18">
        <v>3500</v>
      </c>
      <c r="S332" s="30" t="s">
        <v>1195</v>
      </c>
      <c r="T332" s="14"/>
      <c r="U332" s="4"/>
      <c r="V332" s="4"/>
      <c r="W332" s="5" t="s">
        <v>2704</v>
      </c>
      <c r="X332" s="5" t="s">
        <v>2599</v>
      </c>
      <c r="Y332" s="5" t="s">
        <v>457</v>
      </c>
      <c r="Z332" s="5"/>
      <c r="AA332" s="5"/>
      <c r="AB332" s="7"/>
      <c r="AC332" s="8" t="s">
        <v>2705</v>
      </c>
      <c r="AD332" s="859" t="s">
        <v>3009</v>
      </c>
      <c r="AE332" s="79"/>
    </row>
    <row r="333" spans="1:51" s="281" customFormat="1" ht="72">
      <c r="A333" s="888"/>
      <c r="B333" s="260" t="s">
        <v>28</v>
      </c>
      <c r="C333" s="4"/>
      <c r="D333" s="112" t="s">
        <v>60</v>
      </c>
      <c r="E333" s="112"/>
      <c r="F333" s="112"/>
      <c r="G333" s="112"/>
      <c r="H333" s="5" t="s">
        <v>70</v>
      </c>
      <c r="I333" s="5" t="s">
        <v>34</v>
      </c>
      <c r="J333" s="16" t="s">
        <v>2703</v>
      </c>
      <c r="K333" s="8"/>
      <c r="L333" s="8"/>
      <c r="M333" s="14">
        <v>43252</v>
      </c>
      <c r="N333" s="14"/>
      <c r="O333" s="14">
        <v>43405</v>
      </c>
      <c r="P333" s="12">
        <v>12</v>
      </c>
      <c r="Q333" s="26">
        <v>12</v>
      </c>
      <c r="R333" s="18">
        <v>3500</v>
      </c>
      <c r="S333" s="5" t="s">
        <v>1195</v>
      </c>
      <c r="T333" s="14"/>
      <c r="U333" s="4"/>
      <c r="V333" s="4"/>
      <c r="W333" s="5" t="s">
        <v>2704</v>
      </c>
      <c r="X333" s="5" t="s">
        <v>2599</v>
      </c>
      <c r="Y333" s="5" t="s">
        <v>457</v>
      </c>
      <c r="Z333" s="5"/>
      <c r="AA333" s="26"/>
      <c r="AB333" s="7"/>
      <c r="AC333" s="8" t="s">
        <v>2705</v>
      </c>
      <c r="AD333" s="859" t="s">
        <v>3009</v>
      </c>
      <c r="AE333" s="79"/>
      <c r="AF333" s="1"/>
      <c r="AG333" s="1357"/>
      <c r="AH333" s="1357"/>
      <c r="AI333" s="1357"/>
      <c r="AJ333" s="1357"/>
      <c r="AK333" s="1357"/>
      <c r="AL333" s="1357"/>
      <c r="AM333" s="1357"/>
      <c r="AN333" s="1357"/>
      <c r="AO333" s="1357"/>
      <c r="AP333" s="1357"/>
      <c r="AQ333" s="1357"/>
      <c r="AR333" s="1357"/>
      <c r="AS333" s="1357"/>
      <c r="AT333" s="1357"/>
      <c r="AU333" s="1357"/>
      <c r="AV333" s="1357"/>
      <c r="AW333" s="1357"/>
      <c r="AX333" s="1357"/>
      <c r="AY333" s="1357"/>
    </row>
    <row r="334" spans="1:51" s="281" customFormat="1" ht="28.8">
      <c r="A334" s="888"/>
      <c r="B334" s="260" t="s">
        <v>28</v>
      </c>
      <c r="C334" s="4"/>
      <c r="D334" s="112" t="s">
        <v>60</v>
      </c>
      <c r="E334" s="112"/>
      <c r="F334" s="112"/>
      <c r="G334" s="112"/>
      <c r="H334" s="5" t="s">
        <v>2602</v>
      </c>
      <c r="I334" s="5" t="s">
        <v>50</v>
      </c>
      <c r="J334" s="16" t="s">
        <v>3010</v>
      </c>
      <c r="K334" s="16"/>
      <c r="L334" s="16"/>
      <c r="M334" s="176">
        <v>43374</v>
      </c>
      <c r="N334" s="176"/>
      <c r="O334" s="176">
        <v>43405</v>
      </c>
      <c r="P334" s="12" t="s">
        <v>3011</v>
      </c>
      <c r="Q334" s="25" t="s">
        <v>191</v>
      </c>
      <c r="R334" s="18">
        <v>75000</v>
      </c>
      <c r="S334" s="5" t="s">
        <v>53</v>
      </c>
      <c r="T334" s="12" t="s">
        <v>54</v>
      </c>
      <c r="U334" s="4"/>
      <c r="V334" s="4"/>
      <c r="W334" s="5" t="s">
        <v>2605</v>
      </c>
      <c r="X334" s="5" t="s">
        <v>254</v>
      </c>
      <c r="Y334" s="5" t="s">
        <v>457</v>
      </c>
      <c r="Z334" s="5"/>
      <c r="AA334" s="26"/>
      <c r="AB334" s="193">
        <v>43479</v>
      </c>
      <c r="AC334" s="35" t="s">
        <v>3012</v>
      </c>
      <c r="AD334" s="141"/>
      <c r="AE334" s="39"/>
      <c r="AF334" s="1357"/>
      <c r="AG334" s="1357"/>
      <c r="AH334" s="1357"/>
      <c r="AI334" s="1357"/>
      <c r="AJ334" s="1357"/>
      <c r="AK334" s="1357"/>
      <c r="AL334" s="1357"/>
      <c r="AM334" s="1357"/>
      <c r="AN334" s="1357"/>
      <c r="AO334" s="1357"/>
      <c r="AP334" s="1357"/>
      <c r="AQ334" s="1357"/>
      <c r="AR334" s="1357"/>
      <c r="AS334" s="1357"/>
      <c r="AT334" s="1357"/>
      <c r="AU334" s="1357"/>
      <c r="AV334" s="1357"/>
      <c r="AW334" s="1357"/>
      <c r="AX334" s="1357"/>
      <c r="AY334" s="1357"/>
    </row>
    <row r="335" spans="1:51" s="281" customFormat="1" ht="52.8">
      <c r="A335" s="852"/>
      <c r="B335" s="714" t="s">
        <v>48</v>
      </c>
      <c r="C335" s="484" t="s">
        <v>1627</v>
      </c>
      <c r="D335" s="609" t="s">
        <v>60</v>
      </c>
      <c r="E335" s="609"/>
      <c r="F335" s="609"/>
      <c r="G335" s="609"/>
      <c r="H335" s="609" t="s">
        <v>127</v>
      </c>
      <c r="I335" s="739" t="s">
        <v>34</v>
      </c>
      <c r="J335" s="1099" t="s">
        <v>1686</v>
      </c>
      <c r="K335" s="1118"/>
      <c r="L335" s="751">
        <v>43399</v>
      </c>
      <c r="M335" s="1136"/>
      <c r="N335" s="751"/>
      <c r="O335" s="1124">
        <v>43405</v>
      </c>
      <c r="P335" s="764">
        <v>1</v>
      </c>
      <c r="Q335" s="606">
        <v>1</v>
      </c>
      <c r="R335" s="1186">
        <v>127829.94</v>
      </c>
      <c r="S335" s="802" t="s">
        <v>164</v>
      </c>
      <c r="T335" s="615" t="s">
        <v>54</v>
      </c>
      <c r="U335" s="615"/>
      <c r="V335" s="615"/>
      <c r="W335" s="739" t="s">
        <v>1687</v>
      </c>
      <c r="X335" s="297"/>
      <c r="Y335" s="297"/>
      <c r="Z335" s="297"/>
      <c r="AA335" s="297"/>
      <c r="AB335" s="114"/>
      <c r="AC335" s="297"/>
      <c r="AD335" s="297"/>
      <c r="AE335" s="297"/>
      <c r="AF335" s="1360"/>
      <c r="AG335" s="1357"/>
      <c r="AH335" s="1357"/>
      <c r="AI335" s="1357"/>
      <c r="AJ335" s="1357"/>
      <c r="AK335" s="1357"/>
      <c r="AL335" s="1357"/>
      <c r="AM335" s="1357"/>
      <c r="AN335" s="1357"/>
      <c r="AO335" s="1357"/>
      <c r="AP335" s="1357"/>
      <c r="AQ335" s="1357"/>
      <c r="AR335" s="1357"/>
      <c r="AS335" s="1357"/>
      <c r="AT335" s="1357"/>
      <c r="AU335" s="1357"/>
      <c r="AV335" s="1357"/>
      <c r="AW335" s="1357"/>
      <c r="AX335" s="1357"/>
      <c r="AY335" s="1357"/>
    </row>
    <row r="336" spans="1:51" s="281" customFormat="1" ht="136.5" customHeight="1">
      <c r="A336" s="852"/>
      <c r="B336" s="260" t="s">
        <v>28</v>
      </c>
      <c r="C336" s="4"/>
      <c r="D336" s="112" t="s">
        <v>29</v>
      </c>
      <c r="E336" s="112"/>
      <c r="F336" s="112"/>
      <c r="G336" s="112"/>
      <c r="H336" s="5" t="s">
        <v>70</v>
      </c>
      <c r="I336" s="5" t="s">
        <v>34</v>
      </c>
      <c r="J336" s="16" t="s">
        <v>3013</v>
      </c>
      <c r="K336" s="16"/>
      <c r="L336" s="16"/>
      <c r="M336" s="193">
        <v>43009</v>
      </c>
      <c r="N336" s="193"/>
      <c r="O336" s="176">
        <v>43409</v>
      </c>
      <c r="P336" s="30">
        <v>48</v>
      </c>
      <c r="Q336" s="30" t="s">
        <v>167</v>
      </c>
      <c r="R336" s="202">
        <v>294800</v>
      </c>
      <c r="S336" s="30" t="s">
        <v>109</v>
      </c>
      <c r="T336" s="5" t="s">
        <v>54</v>
      </c>
      <c r="U336" s="4"/>
      <c r="V336" s="4"/>
      <c r="W336" s="26" t="s">
        <v>2921</v>
      </c>
      <c r="X336" s="270" t="s">
        <v>1091</v>
      </c>
      <c r="Y336" s="30" t="s">
        <v>457</v>
      </c>
      <c r="Z336" s="5"/>
      <c r="AA336" s="26"/>
      <c r="AB336" s="193">
        <v>43536</v>
      </c>
      <c r="AC336" s="8" t="s">
        <v>3014</v>
      </c>
      <c r="AD336" s="141"/>
      <c r="AE336" s="39">
        <v>34000</v>
      </c>
      <c r="AF336" s="1"/>
      <c r="AG336" s="1357"/>
      <c r="AH336" s="1357"/>
      <c r="AI336" s="1357"/>
      <c r="AJ336" s="1357"/>
      <c r="AK336" s="1357"/>
      <c r="AL336" s="1357"/>
      <c r="AM336" s="1357"/>
      <c r="AN336" s="1357"/>
      <c r="AO336" s="1357"/>
      <c r="AP336" s="1357"/>
      <c r="AQ336" s="1357"/>
      <c r="AR336" s="1357"/>
      <c r="AS336" s="1357"/>
      <c r="AT336" s="1357"/>
      <c r="AU336" s="1357"/>
      <c r="AV336" s="1357"/>
      <c r="AW336" s="1357"/>
      <c r="AX336" s="1357"/>
      <c r="AY336" s="1357"/>
    </row>
    <row r="337" spans="1:51" s="281" customFormat="1" ht="28.8">
      <c r="A337" s="898"/>
      <c r="B337" s="260" t="s">
        <v>28</v>
      </c>
      <c r="C337" s="4"/>
      <c r="D337" s="112" t="s">
        <v>29</v>
      </c>
      <c r="E337" s="112"/>
      <c r="F337" s="112"/>
      <c r="G337" s="112"/>
      <c r="H337" s="5" t="s">
        <v>70</v>
      </c>
      <c r="I337" s="5" t="s">
        <v>34</v>
      </c>
      <c r="J337" s="16" t="s">
        <v>3015</v>
      </c>
      <c r="K337" s="16"/>
      <c r="L337" s="16"/>
      <c r="M337" s="1329">
        <v>43040</v>
      </c>
      <c r="N337" s="1329"/>
      <c r="O337" s="1329">
        <v>43410</v>
      </c>
      <c r="P337" s="1330">
        <v>12</v>
      </c>
      <c r="Q337" s="1332">
        <v>12</v>
      </c>
      <c r="R337" s="18">
        <v>70000</v>
      </c>
      <c r="S337" s="1330" t="s">
        <v>1163</v>
      </c>
      <c r="T337" s="1330" t="s">
        <v>54</v>
      </c>
      <c r="U337" s="4"/>
      <c r="V337" s="4"/>
      <c r="W337" s="1330" t="s">
        <v>117</v>
      </c>
      <c r="X337" s="1335" t="s">
        <v>1053</v>
      </c>
      <c r="Y337" s="5" t="s">
        <v>457</v>
      </c>
      <c r="Z337" s="5"/>
      <c r="AA337" s="1384"/>
      <c r="AB337" s="1337">
        <v>43486</v>
      </c>
      <c r="AC337" s="1327" t="s">
        <v>3016</v>
      </c>
      <c r="AD337" s="141"/>
      <c r="AE337" s="1349"/>
      <c r="AF337" s="1"/>
      <c r="AG337" s="1357"/>
      <c r="AH337" s="1357"/>
      <c r="AI337" s="1357"/>
      <c r="AJ337" s="1357"/>
      <c r="AK337" s="1357"/>
      <c r="AL337" s="1357"/>
      <c r="AM337" s="1357"/>
      <c r="AN337" s="1357"/>
      <c r="AO337" s="1357"/>
      <c r="AP337" s="1357"/>
      <c r="AQ337" s="1357"/>
      <c r="AR337" s="1357"/>
      <c r="AS337" s="1357"/>
      <c r="AT337" s="1357"/>
      <c r="AU337" s="1357"/>
      <c r="AV337" s="1357"/>
      <c r="AW337" s="1357"/>
      <c r="AX337" s="1357"/>
      <c r="AY337" s="1357"/>
    </row>
    <row r="338" spans="1:51" s="281" customFormat="1" ht="72">
      <c r="A338" s="888"/>
      <c r="B338" s="260" t="s">
        <v>28</v>
      </c>
      <c r="C338" s="4"/>
      <c r="D338" s="112" t="s">
        <v>29</v>
      </c>
      <c r="E338" s="112"/>
      <c r="F338" s="112"/>
      <c r="G338" s="112"/>
      <c r="H338" s="5" t="s">
        <v>2695</v>
      </c>
      <c r="I338" s="5" t="s">
        <v>34</v>
      </c>
      <c r="J338" s="16" t="s">
        <v>3017</v>
      </c>
      <c r="K338" s="8"/>
      <c r="L338" s="8"/>
      <c r="M338" s="193">
        <v>43221</v>
      </c>
      <c r="N338" s="193"/>
      <c r="O338" s="193">
        <v>43411</v>
      </c>
      <c r="P338" s="5">
        <v>12</v>
      </c>
      <c r="Q338" s="7" t="s">
        <v>108</v>
      </c>
      <c r="R338" s="18">
        <v>23000</v>
      </c>
      <c r="S338" s="5" t="s">
        <v>909</v>
      </c>
      <c r="T338" s="11" t="s">
        <v>54</v>
      </c>
      <c r="U338" s="4"/>
      <c r="V338" s="4"/>
      <c r="W338" s="5" t="s">
        <v>689</v>
      </c>
      <c r="X338" s="5" t="s">
        <v>1536</v>
      </c>
      <c r="Y338" s="5" t="s">
        <v>457</v>
      </c>
      <c r="Z338" s="5"/>
      <c r="AA338" s="5"/>
      <c r="AB338" s="193">
        <v>43476</v>
      </c>
      <c r="AC338" s="104" t="s">
        <v>3018</v>
      </c>
      <c r="AD338" s="858"/>
      <c r="AE338" s="39"/>
      <c r="AF338" s="1357"/>
      <c r="AG338" s="1357"/>
      <c r="AH338" s="1357"/>
      <c r="AI338" s="1357"/>
      <c r="AJ338" s="1357"/>
      <c r="AK338" s="1357"/>
      <c r="AL338" s="1357"/>
      <c r="AM338" s="1357"/>
      <c r="AN338" s="1357"/>
      <c r="AO338" s="1357"/>
      <c r="AP338" s="1357"/>
      <c r="AQ338" s="1357"/>
      <c r="AR338" s="1357"/>
      <c r="AS338" s="1357"/>
      <c r="AT338" s="1357"/>
      <c r="AU338" s="1357"/>
      <c r="AV338" s="1357"/>
      <c r="AW338" s="1357"/>
      <c r="AX338" s="1357"/>
      <c r="AY338" s="1357"/>
    </row>
    <row r="339" spans="1:51" s="281" customFormat="1" ht="72">
      <c r="A339" s="1364"/>
      <c r="B339" s="260" t="s">
        <v>28</v>
      </c>
      <c r="C339" s="4"/>
      <c r="D339" s="112" t="s">
        <v>29</v>
      </c>
      <c r="E339" s="112"/>
      <c r="F339" s="112"/>
      <c r="G339" s="112"/>
      <c r="H339" s="5" t="s">
        <v>2695</v>
      </c>
      <c r="I339" s="5" t="s">
        <v>34</v>
      </c>
      <c r="J339" s="16" t="s">
        <v>3017</v>
      </c>
      <c r="K339" s="8"/>
      <c r="L339" s="8"/>
      <c r="M339" s="193">
        <v>43221</v>
      </c>
      <c r="N339" s="193"/>
      <c r="O339" s="193">
        <v>43411</v>
      </c>
      <c r="P339" s="5">
        <v>12</v>
      </c>
      <c r="Q339" s="7" t="s">
        <v>108</v>
      </c>
      <c r="R339" s="18">
        <v>23000</v>
      </c>
      <c r="S339" s="30" t="s">
        <v>909</v>
      </c>
      <c r="T339" s="11" t="s">
        <v>54</v>
      </c>
      <c r="U339" s="4"/>
      <c r="V339" s="4"/>
      <c r="W339" s="5" t="s">
        <v>689</v>
      </c>
      <c r="X339" s="5" t="s">
        <v>1536</v>
      </c>
      <c r="Y339" s="5" t="s">
        <v>457</v>
      </c>
      <c r="Z339" s="5"/>
      <c r="AA339" s="5"/>
      <c r="AB339" s="193">
        <v>43476</v>
      </c>
      <c r="AC339" s="35" t="s">
        <v>3018</v>
      </c>
      <c r="AD339" s="858"/>
      <c r="AE339" s="39"/>
      <c r="AF339" s="1357"/>
      <c r="AG339" s="1357"/>
      <c r="AH339" s="1357"/>
      <c r="AI339" s="1357"/>
      <c r="AJ339" s="1357"/>
      <c r="AK339" s="1357"/>
      <c r="AL339" s="1357"/>
      <c r="AM339" s="1357"/>
      <c r="AN339" s="1357"/>
      <c r="AO339" s="1357"/>
      <c r="AP339" s="1357"/>
      <c r="AQ339" s="1357"/>
      <c r="AR339" s="1357"/>
      <c r="AS339" s="1357"/>
      <c r="AT339" s="1357"/>
      <c r="AU339" s="1357"/>
      <c r="AV339" s="1357"/>
      <c r="AW339" s="1357"/>
      <c r="AX339" s="1357"/>
      <c r="AY339" s="1357"/>
    </row>
    <row r="340" spans="1:51" s="282" customFormat="1" ht="57.6">
      <c r="A340" s="888"/>
      <c r="B340" s="260" t="s">
        <v>28</v>
      </c>
      <c r="C340" s="1351" t="s">
        <v>3019</v>
      </c>
      <c r="D340" s="112" t="s">
        <v>82</v>
      </c>
      <c r="E340" s="112"/>
      <c r="F340" s="112"/>
      <c r="G340" s="112"/>
      <c r="H340" s="5" t="s">
        <v>70</v>
      </c>
      <c r="I340" s="5" t="s">
        <v>64</v>
      </c>
      <c r="J340" s="16" t="s">
        <v>3020</v>
      </c>
      <c r="K340" s="16"/>
      <c r="L340" s="16"/>
      <c r="M340" s="176">
        <v>43101</v>
      </c>
      <c r="N340" s="176"/>
      <c r="O340" s="176">
        <v>43415</v>
      </c>
      <c r="P340" s="12">
        <v>16</v>
      </c>
      <c r="Q340" s="25" t="s">
        <v>3021</v>
      </c>
      <c r="R340" s="18">
        <v>104300</v>
      </c>
      <c r="S340" s="30" t="s">
        <v>164</v>
      </c>
      <c r="T340" s="12" t="s">
        <v>54</v>
      </c>
      <c r="U340" s="1347"/>
      <c r="V340" s="1347"/>
      <c r="W340" s="5" t="s">
        <v>286</v>
      </c>
      <c r="X340" s="5" t="s">
        <v>1091</v>
      </c>
      <c r="Y340" s="5" t="s">
        <v>457</v>
      </c>
      <c r="Z340" s="5"/>
      <c r="AA340" s="5"/>
      <c r="AB340" s="193">
        <v>43486</v>
      </c>
      <c r="AC340" s="8" t="s">
        <v>3022</v>
      </c>
      <c r="AD340" s="141"/>
      <c r="AE340" s="204" t="s">
        <v>3023</v>
      </c>
      <c r="AF340" s="1360"/>
      <c r="AG340" s="1360"/>
      <c r="AH340" s="1360"/>
      <c r="AI340" s="1360"/>
      <c r="AJ340" s="1360"/>
      <c r="AK340" s="1360"/>
      <c r="AL340" s="1360"/>
      <c r="AM340" s="1360"/>
      <c r="AN340" s="1360"/>
      <c r="AO340" s="1360"/>
      <c r="AP340" s="1360"/>
      <c r="AQ340" s="1360"/>
      <c r="AR340" s="1360"/>
      <c r="AS340" s="1360"/>
      <c r="AT340" s="1360"/>
      <c r="AU340" s="1360"/>
      <c r="AV340" s="1360"/>
      <c r="AW340" s="1360"/>
      <c r="AX340" s="1360"/>
      <c r="AY340" s="1360"/>
    </row>
    <row r="341" spans="1:51" s="1" customFormat="1" ht="28.8">
      <c r="A341" s="888"/>
      <c r="B341" s="260" t="s">
        <v>28</v>
      </c>
      <c r="C341" s="4"/>
      <c r="D341" s="31" t="s">
        <v>29</v>
      </c>
      <c r="E341" s="31"/>
      <c r="F341" s="31"/>
      <c r="G341" s="31"/>
      <c r="H341" s="5" t="s">
        <v>70</v>
      </c>
      <c r="I341" s="5" t="s">
        <v>34</v>
      </c>
      <c r="J341" s="105" t="s">
        <v>3024</v>
      </c>
      <c r="K341" s="105"/>
      <c r="L341" s="16"/>
      <c r="M341" s="176">
        <v>43344</v>
      </c>
      <c r="N341" s="176"/>
      <c r="O341" s="176">
        <v>43418</v>
      </c>
      <c r="P341" s="12">
        <v>12</v>
      </c>
      <c r="Q341" s="300" t="s">
        <v>108</v>
      </c>
      <c r="R341" s="18">
        <v>1151.92</v>
      </c>
      <c r="S341" s="30" t="s">
        <v>66</v>
      </c>
      <c r="T341" s="5" t="s">
        <v>54</v>
      </c>
      <c r="U341" s="11" t="s">
        <v>37</v>
      </c>
      <c r="V341" s="11"/>
      <c r="W341" s="5" t="s">
        <v>113</v>
      </c>
      <c r="X341" s="5" t="s">
        <v>1536</v>
      </c>
      <c r="Y341" s="5" t="s">
        <v>59</v>
      </c>
      <c r="Z341" s="5"/>
      <c r="AA341" s="5"/>
      <c r="AB341" s="193">
        <v>43900</v>
      </c>
      <c r="AC341" s="8" t="s">
        <v>3025</v>
      </c>
      <c r="AD341" s="20" t="s">
        <v>3026</v>
      </c>
      <c r="AE341" s="38"/>
      <c r="AF341" s="1360"/>
    </row>
    <row r="342" spans="1:51" s="281" customFormat="1" ht="58.5" customHeight="1">
      <c r="A342" s="852"/>
      <c r="B342" s="714" t="s">
        <v>48</v>
      </c>
      <c r="C342" s="465" t="s">
        <v>1746</v>
      </c>
      <c r="D342" s="554" t="s">
        <v>29</v>
      </c>
      <c r="E342" s="554"/>
      <c r="F342" s="554"/>
      <c r="G342" s="554"/>
      <c r="H342" s="466" t="s">
        <v>49</v>
      </c>
      <c r="I342" s="474" t="s">
        <v>34</v>
      </c>
      <c r="J342" s="1024" t="s">
        <v>1751</v>
      </c>
      <c r="K342" s="467"/>
      <c r="L342" s="540">
        <v>43252</v>
      </c>
      <c r="M342" s="540"/>
      <c r="N342" s="540"/>
      <c r="O342" s="540">
        <v>43433</v>
      </c>
      <c r="P342" s="1151">
        <v>48</v>
      </c>
      <c r="Q342" s="1151" t="s">
        <v>125</v>
      </c>
      <c r="R342" s="777">
        <f>24000000/3*4</f>
        <v>32000000</v>
      </c>
      <c r="S342" s="791" t="s">
        <v>125</v>
      </c>
      <c r="T342" s="470" t="s">
        <v>41</v>
      </c>
      <c r="U342" s="470"/>
      <c r="V342" s="470"/>
      <c r="W342" s="738" t="s">
        <v>406</v>
      </c>
      <c r="X342" s="823"/>
      <c r="Y342" s="303"/>
      <c r="Z342" s="114"/>
      <c r="AA342" s="180"/>
      <c r="AB342" s="114"/>
      <c r="AC342" s="114"/>
      <c r="AD342" s="303"/>
      <c r="AE342" s="114"/>
      <c r="AF342" s="1"/>
      <c r="AG342" s="1357"/>
      <c r="AH342" s="1357"/>
      <c r="AI342" s="1357"/>
      <c r="AJ342" s="1357"/>
      <c r="AK342" s="1357"/>
      <c r="AL342" s="1357"/>
      <c r="AM342" s="1357"/>
      <c r="AN342" s="1357"/>
      <c r="AO342" s="1357"/>
      <c r="AP342" s="1357"/>
      <c r="AQ342" s="1357"/>
      <c r="AR342" s="1357"/>
      <c r="AS342" s="1357"/>
      <c r="AT342" s="1357"/>
      <c r="AU342" s="1357"/>
      <c r="AV342" s="1357"/>
      <c r="AW342" s="1357"/>
      <c r="AX342" s="1357"/>
      <c r="AY342" s="1357"/>
    </row>
    <row r="343" spans="1:51" s="281" customFormat="1" ht="57.6">
      <c r="A343" s="889"/>
      <c r="B343" s="260" t="s">
        <v>28</v>
      </c>
      <c r="C343" s="1347"/>
      <c r="D343" s="112" t="s">
        <v>29</v>
      </c>
      <c r="E343" s="112"/>
      <c r="F343" s="112"/>
      <c r="G343" s="112"/>
      <c r="H343" s="5" t="s">
        <v>33</v>
      </c>
      <c r="I343" s="5" t="s">
        <v>34</v>
      </c>
      <c r="J343" s="16" t="s">
        <v>3027</v>
      </c>
      <c r="K343" s="8"/>
      <c r="L343" s="8"/>
      <c r="M343" s="193">
        <v>43101</v>
      </c>
      <c r="N343" s="193"/>
      <c r="O343" s="193">
        <v>43434</v>
      </c>
      <c r="P343" s="5">
        <v>27</v>
      </c>
      <c r="Q343" s="7" t="s">
        <v>3028</v>
      </c>
      <c r="R343" s="18">
        <v>300000</v>
      </c>
      <c r="S343" s="5" t="s">
        <v>109</v>
      </c>
      <c r="T343" s="11" t="s">
        <v>54</v>
      </c>
      <c r="U343" s="1347"/>
      <c r="V343" s="1347"/>
      <c r="W343" s="5" t="s">
        <v>3029</v>
      </c>
      <c r="X343" s="5" t="s">
        <v>1053</v>
      </c>
      <c r="Y343" s="5" t="s">
        <v>457</v>
      </c>
      <c r="Z343" s="5"/>
      <c r="AA343" s="26"/>
      <c r="AB343" s="193">
        <v>43487</v>
      </c>
      <c r="AC343" s="8" t="s">
        <v>3030</v>
      </c>
      <c r="AD343" s="141"/>
      <c r="AE343" s="39"/>
      <c r="AF343" s="1"/>
      <c r="AG343" s="1357"/>
      <c r="AH343" s="1357"/>
      <c r="AI343" s="1357"/>
      <c r="AJ343" s="1357"/>
      <c r="AK343" s="1357"/>
      <c r="AL343" s="1357"/>
      <c r="AM343" s="1357"/>
      <c r="AN343" s="1357"/>
      <c r="AO343" s="1357"/>
      <c r="AP343" s="1357"/>
      <c r="AQ343" s="1357"/>
      <c r="AR343" s="1357"/>
      <c r="AS343" s="1357"/>
      <c r="AT343" s="1357"/>
      <c r="AU343" s="1357"/>
      <c r="AV343" s="1357"/>
      <c r="AW343" s="1357"/>
      <c r="AX343" s="1357"/>
      <c r="AY343" s="1357"/>
    </row>
    <row r="344" spans="1:51" s="281" customFormat="1" ht="57.6">
      <c r="A344" s="454"/>
      <c r="B344" s="357" t="s">
        <v>145</v>
      </c>
      <c r="C344" s="368" t="s">
        <v>3031</v>
      </c>
      <c r="D344" s="428" t="s">
        <v>92</v>
      </c>
      <c r="E344" s="428"/>
      <c r="F344" s="428"/>
      <c r="G344" s="428"/>
      <c r="H344" s="374" t="s">
        <v>148</v>
      </c>
      <c r="I344" s="374" t="s">
        <v>34</v>
      </c>
      <c r="J344" s="1026" t="s">
        <v>3032</v>
      </c>
      <c r="K344" s="374"/>
      <c r="L344" s="374">
        <v>12</v>
      </c>
      <c r="M344" s="379">
        <f>IFERROR(EDATE(N344,-3),"Invalid procurement method or date entered")</f>
        <v>42979</v>
      </c>
      <c r="N344" s="375">
        <f>IFERROR(EDATE(O344,-L344),"Invalid procurement method or date entered")</f>
        <v>43070</v>
      </c>
      <c r="O344" s="375">
        <v>43435</v>
      </c>
      <c r="P344" s="376"/>
      <c r="Q344" s="1167"/>
      <c r="R344" s="377">
        <v>12339600</v>
      </c>
      <c r="S344" s="463" t="s">
        <v>186</v>
      </c>
      <c r="T344" s="378" t="s">
        <v>54</v>
      </c>
      <c r="U344" s="378" t="s">
        <v>3033</v>
      </c>
      <c r="V344" s="378"/>
      <c r="W344" s="374" t="s">
        <v>1258</v>
      </c>
      <c r="X344" s="374" t="s">
        <v>184</v>
      </c>
      <c r="Y344" s="374" t="s">
        <v>179</v>
      </c>
      <c r="Z344" s="374"/>
      <c r="AA344" s="78" t="s">
        <v>40</v>
      </c>
      <c r="AB344" s="364" t="s">
        <v>41</v>
      </c>
      <c r="AC344" s="379">
        <v>43864</v>
      </c>
      <c r="AD344" s="861"/>
      <c r="AE344" s="379"/>
      <c r="AF344" s="1360"/>
      <c r="AG344" s="1357"/>
      <c r="AH344" s="1357"/>
      <c r="AI344" s="1357"/>
      <c r="AJ344" s="1357"/>
      <c r="AK344" s="1357"/>
      <c r="AL344" s="1357"/>
      <c r="AM344" s="1357"/>
      <c r="AN344" s="1357"/>
      <c r="AO344" s="1357"/>
      <c r="AP344" s="1357"/>
      <c r="AQ344" s="1357"/>
      <c r="AR344" s="1357"/>
      <c r="AS344" s="1357"/>
      <c r="AT344" s="1357"/>
      <c r="AU344" s="1357"/>
      <c r="AV344" s="1357"/>
      <c r="AW344" s="1357"/>
      <c r="AX344" s="1357"/>
      <c r="AY344" s="1357"/>
    </row>
    <row r="345" spans="1:51" s="281" customFormat="1" ht="57.6">
      <c r="A345" s="454"/>
      <c r="B345" s="357" t="s">
        <v>145</v>
      </c>
      <c r="C345" s="368" t="s">
        <v>3034</v>
      </c>
      <c r="D345" s="428" t="s">
        <v>92</v>
      </c>
      <c r="E345" s="428"/>
      <c r="F345" s="428"/>
      <c r="G345" s="428"/>
      <c r="H345" s="374" t="s">
        <v>148</v>
      </c>
      <c r="I345" s="374" t="s">
        <v>34</v>
      </c>
      <c r="J345" s="1026" t="s">
        <v>3035</v>
      </c>
      <c r="K345" s="374"/>
      <c r="L345" s="374">
        <v>12</v>
      </c>
      <c r="M345" s="379">
        <f>IFERROR(EDATE(N345,-3),"Invalid procurement method or date entered")</f>
        <v>42979</v>
      </c>
      <c r="N345" s="375">
        <f>IFERROR(EDATE(O345,-L345),"Invalid procurement method or date entered")</f>
        <v>43070</v>
      </c>
      <c r="O345" s="375">
        <v>43435</v>
      </c>
      <c r="P345" s="376"/>
      <c r="Q345" s="376"/>
      <c r="R345" s="377">
        <v>9319892</v>
      </c>
      <c r="S345" s="463" t="s">
        <v>186</v>
      </c>
      <c r="T345" s="378" t="s">
        <v>54</v>
      </c>
      <c r="U345" s="378" t="s">
        <v>3033</v>
      </c>
      <c r="V345" s="378"/>
      <c r="W345" s="374" t="s">
        <v>1258</v>
      </c>
      <c r="X345" s="374" t="s">
        <v>184</v>
      </c>
      <c r="Y345" s="374" t="s">
        <v>179</v>
      </c>
      <c r="Z345" s="374"/>
      <c r="AA345" s="78" t="s">
        <v>40</v>
      </c>
      <c r="AB345" s="364" t="s">
        <v>41</v>
      </c>
      <c r="AC345" s="379">
        <v>43864</v>
      </c>
      <c r="AD345" s="861"/>
      <c r="AE345" s="379"/>
      <c r="AF345" s="1357"/>
      <c r="AG345" s="1357"/>
      <c r="AH345" s="1357"/>
      <c r="AI345" s="1357"/>
      <c r="AJ345" s="1357"/>
      <c r="AK345" s="1357"/>
      <c r="AL345" s="1357"/>
      <c r="AM345" s="1357"/>
      <c r="AN345" s="1357"/>
      <c r="AO345" s="1357"/>
      <c r="AP345" s="1357"/>
      <c r="AQ345" s="1357"/>
      <c r="AR345" s="1357"/>
      <c r="AS345" s="1357"/>
      <c r="AT345" s="1357"/>
      <c r="AU345" s="1357"/>
      <c r="AV345" s="1357"/>
      <c r="AW345" s="1357"/>
      <c r="AX345" s="1357"/>
      <c r="AY345" s="1357"/>
    </row>
    <row r="346" spans="1:51" s="281" customFormat="1" ht="57.6">
      <c r="A346" s="852"/>
      <c r="B346" s="357" t="s">
        <v>145</v>
      </c>
      <c r="C346" s="368" t="s">
        <v>3036</v>
      </c>
      <c r="D346" s="428" t="s">
        <v>92</v>
      </c>
      <c r="E346" s="428"/>
      <c r="F346" s="428"/>
      <c r="G346" s="428"/>
      <c r="H346" s="374" t="s">
        <v>148</v>
      </c>
      <c r="I346" s="374" t="s">
        <v>34</v>
      </c>
      <c r="J346" s="1026" t="s">
        <v>3037</v>
      </c>
      <c r="K346" s="374"/>
      <c r="L346" s="374">
        <v>12</v>
      </c>
      <c r="M346" s="379">
        <f>IFERROR(EDATE(N346,-3),"Invalid procurement method or date entered")</f>
        <v>42979</v>
      </c>
      <c r="N346" s="375">
        <f>IFERROR(EDATE(O346,-L346),"Invalid procurement method or date entered")</f>
        <v>43070</v>
      </c>
      <c r="O346" s="375">
        <v>43435</v>
      </c>
      <c r="P346" s="376"/>
      <c r="Q346" s="376"/>
      <c r="R346" s="377">
        <v>10549516</v>
      </c>
      <c r="S346" s="463" t="s">
        <v>186</v>
      </c>
      <c r="T346" s="378" t="s">
        <v>54</v>
      </c>
      <c r="U346" s="378" t="s">
        <v>3033</v>
      </c>
      <c r="V346" s="378"/>
      <c r="W346" s="374" t="s">
        <v>1258</v>
      </c>
      <c r="X346" s="374" t="s">
        <v>184</v>
      </c>
      <c r="Y346" s="374" t="s">
        <v>39</v>
      </c>
      <c r="Z346" s="374"/>
      <c r="AA346" s="78" t="s">
        <v>40</v>
      </c>
      <c r="AB346" s="364" t="s">
        <v>41</v>
      </c>
      <c r="AC346" s="379">
        <v>43864</v>
      </c>
      <c r="AD346" s="861"/>
      <c r="AE346" s="379"/>
      <c r="AF346" s="1360"/>
      <c r="AG346" s="1357"/>
      <c r="AH346" s="1357"/>
      <c r="AI346" s="1357"/>
      <c r="AJ346" s="1357"/>
      <c r="AK346" s="1357"/>
      <c r="AL346" s="1357"/>
      <c r="AM346" s="1357"/>
      <c r="AN346" s="1357"/>
      <c r="AO346" s="1357"/>
      <c r="AP346" s="1357"/>
      <c r="AQ346" s="1357"/>
      <c r="AR346" s="1357"/>
      <c r="AS346" s="1357"/>
      <c r="AT346" s="1357"/>
      <c r="AU346" s="1357"/>
      <c r="AV346" s="1357"/>
      <c r="AW346" s="1357"/>
      <c r="AX346" s="1357"/>
      <c r="AY346" s="1357"/>
    </row>
    <row r="347" spans="1:51" s="281" customFormat="1" ht="57.6">
      <c r="A347" s="888"/>
      <c r="B347" s="260" t="s">
        <v>28</v>
      </c>
      <c r="C347" s="4"/>
      <c r="D347" s="112" t="s">
        <v>29</v>
      </c>
      <c r="E347" s="112"/>
      <c r="F347" s="112"/>
      <c r="G347" s="112"/>
      <c r="H347" s="5" t="s">
        <v>3038</v>
      </c>
      <c r="I347" s="5" t="s">
        <v>34</v>
      </c>
      <c r="J347" s="16" t="s">
        <v>3039</v>
      </c>
      <c r="K347" s="8"/>
      <c r="L347" s="8"/>
      <c r="M347" s="14">
        <v>43101</v>
      </c>
      <c r="N347" s="14"/>
      <c r="O347" s="14">
        <v>43435</v>
      </c>
      <c r="P347" s="27">
        <v>12</v>
      </c>
      <c r="Q347" s="270">
        <v>12</v>
      </c>
      <c r="R347" s="202">
        <v>70000</v>
      </c>
      <c r="S347" s="5" t="s">
        <v>1163</v>
      </c>
      <c r="T347" s="14" t="s">
        <v>54</v>
      </c>
      <c r="U347" s="4"/>
      <c r="V347" s="4"/>
      <c r="W347" s="5" t="s">
        <v>3040</v>
      </c>
      <c r="X347" s="5" t="s">
        <v>2788</v>
      </c>
      <c r="Y347" s="5" t="s">
        <v>457</v>
      </c>
      <c r="Z347" s="5"/>
      <c r="AA347" s="26"/>
      <c r="AB347" s="193">
        <v>43487</v>
      </c>
      <c r="AC347" s="110" t="s">
        <v>3041</v>
      </c>
      <c r="AD347" s="141"/>
      <c r="AE347" s="39"/>
      <c r="AF347" s="1357"/>
      <c r="AG347" s="1357"/>
      <c r="AH347" s="1357"/>
      <c r="AI347" s="1357"/>
      <c r="AJ347" s="1357"/>
      <c r="AK347" s="1357"/>
      <c r="AL347" s="1357"/>
      <c r="AM347" s="1357"/>
      <c r="AN347" s="1357"/>
      <c r="AO347" s="1357"/>
      <c r="AP347" s="1357"/>
      <c r="AQ347" s="1357"/>
      <c r="AR347" s="1357"/>
      <c r="AS347" s="1357"/>
      <c r="AT347" s="1357"/>
      <c r="AU347" s="1357"/>
      <c r="AV347" s="1357"/>
      <c r="AW347" s="1357"/>
      <c r="AX347" s="1357"/>
      <c r="AY347" s="1357"/>
    </row>
    <row r="348" spans="1:51" s="282" customFormat="1" ht="57.6">
      <c r="A348" s="1364"/>
      <c r="B348" s="260" t="s">
        <v>28</v>
      </c>
      <c r="C348" s="4"/>
      <c r="D348" s="112" t="s">
        <v>29</v>
      </c>
      <c r="E348" s="112"/>
      <c r="F348" s="112"/>
      <c r="G348" s="112"/>
      <c r="H348" s="5" t="s">
        <v>70</v>
      </c>
      <c r="I348" s="5" t="s">
        <v>34</v>
      </c>
      <c r="J348" s="257" t="s">
        <v>3042</v>
      </c>
      <c r="K348" s="173"/>
      <c r="L348" s="173"/>
      <c r="M348" s="193">
        <v>43221</v>
      </c>
      <c r="N348" s="193"/>
      <c r="O348" s="193">
        <v>43435</v>
      </c>
      <c r="P348" s="5">
        <v>36</v>
      </c>
      <c r="Q348" s="25" t="s">
        <v>488</v>
      </c>
      <c r="R348" s="18">
        <v>38713</v>
      </c>
      <c r="S348" s="30" t="s">
        <v>109</v>
      </c>
      <c r="T348" s="11" t="s">
        <v>54</v>
      </c>
      <c r="U348" s="4"/>
      <c r="V348" s="4"/>
      <c r="W348" s="5" t="s">
        <v>3043</v>
      </c>
      <c r="X348" s="5" t="s">
        <v>1053</v>
      </c>
      <c r="Y348" s="5" t="s">
        <v>457</v>
      </c>
      <c r="Z348" s="5"/>
      <c r="AA348" s="5"/>
      <c r="AB348" s="193">
        <v>43558</v>
      </c>
      <c r="AC348" s="35" t="s">
        <v>1246</v>
      </c>
      <c r="AD348" s="1379"/>
      <c r="AE348" s="39"/>
      <c r="AF348" s="1360"/>
      <c r="AG348" s="1360"/>
      <c r="AH348" s="1360"/>
      <c r="AI348" s="1360"/>
      <c r="AJ348" s="1360"/>
      <c r="AK348" s="1360"/>
      <c r="AL348" s="1360"/>
      <c r="AM348" s="1360"/>
      <c r="AN348" s="1360"/>
      <c r="AO348" s="1360"/>
      <c r="AP348" s="1360"/>
      <c r="AQ348" s="1360"/>
      <c r="AR348" s="1360"/>
      <c r="AS348" s="1360"/>
      <c r="AT348" s="1360"/>
      <c r="AU348" s="1360"/>
      <c r="AV348" s="1360"/>
      <c r="AW348" s="1360"/>
      <c r="AX348" s="1360"/>
      <c r="AY348" s="1360"/>
    </row>
    <row r="349" spans="1:51" s="282" customFormat="1" ht="57.6">
      <c r="A349" s="1364"/>
      <c r="B349" s="260" t="s">
        <v>28</v>
      </c>
      <c r="C349" s="4"/>
      <c r="D349" s="112" t="s">
        <v>29</v>
      </c>
      <c r="E349" s="112"/>
      <c r="F349" s="112"/>
      <c r="G349" s="112"/>
      <c r="H349" s="5" t="s">
        <v>70</v>
      </c>
      <c r="I349" s="5" t="s">
        <v>34</v>
      </c>
      <c r="J349" s="257" t="s">
        <v>3042</v>
      </c>
      <c r="K349" s="173"/>
      <c r="L349" s="173"/>
      <c r="M349" s="193">
        <v>43221</v>
      </c>
      <c r="N349" s="193"/>
      <c r="O349" s="193">
        <v>43435</v>
      </c>
      <c r="P349" s="5">
        <v>36</v>
      </c>
      <c r="Q349" s="25" t="s">
        <v>488</v>
      </c>
      <c r="R349" s="18">
        <v>38713</v>
      </c>
      <c r="S349" s="30" t="s">
        <v>109</v>
      </c>
      <c r="T349" s="11" t="s">
        <v>54</v>
      </c>
      <c r="U349" s="4"/>
      <c r="V349" s="4"/>
      <c r="W349" s="5" t="s">
        <v>3043</v>
      </c>
      <c r="X349" s="5" t="s">
        <v>1053</v>
      </c>
      <c r="Y349" s="5" t="s">
        <v>457</v>
      </c>
      <c r="Z349" s="5"/>
      <c r="AA349" s="5"/>
      <c r="AB349" s="193">
        <v>43558</v>
      </c>
      <c r="AC349" s="35" t="s">
        <v>1246</v>
      </c>
      <c r="AD349" s="1379"/>
      <c r="AE349" s="39"/>
      <c r="AF349" s="1360"/>
      <c r="AG349" s="1360"/>
      <c r="AH349" s="1360"/>
      <c r="AI349" s="1360"/>
      <c r="AJ349" s="1360"/>
      <c r="AK349" s="1360"/>
      <c r="AL349" s="1360"/>
      <c r="AM349" s="1360"/>
      <c r="AN349" s="1360"/>
      <c r="AO349" s="1360"/>
      <c r="AP349" s="1360"/>
      <c r="AQ349" s="1360"/>
      <c r="AR349" s="1360"/>
      <c r="AS349" s="1360"/>
      <c r="AT349" s="1360"/>
      <c r="AU349" s="1360"/>
      <c r="AV349" s="1360"/>
      <c r="AW349" s="1360"/>
      <c r="AX349" s="1360"/>
      <c r="AY349" s="1360"/>
    </row>
    <row r="350" spans="1:51" s="282" customFormat="1" ht="43.2">
      <c r="A350" s="888"/>
      <c r="B350" s="260" t="s">
        <v>28</v>
      </c>
      <c r="C350" s="4"/>
      <c r="D350" s="112" t="s">
        <v>29</v>
      </c>
      <c r="E350" s="112"/>
      <c r="F350" s="112"/>
      <c r="G350" s="112"/>
      <c r="H350" s="5" t="s">
        <v>70</v>
      </c>
      <c r="I350" s="5" t="s">
        <v>34</v>
      </c>
      <c r="J350" s="16" t="s">
        <v>112</v>
      </c>
      <c r="K350" s="16"/>
      <c r="L350" s="16"/>
      <c r="M350" s="176">
        <v>43073</v>
      </c>
      <c r="N350" s="176"/>
      <c r="O350" s="176">
        <v>43438</v>
      </c>
      <c r="P350" s="12">
        <v>60</v>
      </c>
      <c r="Q350" s="25" t="s">
        <v>358</v>
      </c>
      <c r="R350" s="19">
        <v>87414.38</v>
      </c>
      <c r="S350" s="30" t="s">
        <v>163</v>
      </c>
      <c r="T350" s="12" t="s">
        <v>54</v>
      </c>
      <c r="U350" s="4"/>
      <c r="V350" s="4"/>
      <c r="W350" s="5" t="s">
        <v>113</v>
      </c>
      <c r="X350" s="5" t="s">
        <v>2689</v>
      </c>
      <c r="Y350" s="5" t="s">
        <v>457</v>
      </c>
      <c r="Z350" s="5"/>
      <c r="AA350" s="5"/>
      <c r="AB350" s="193">
        <v>43514</v>
      </c>
      <c r="AC350" s="8" t="s">
        <v>3044</v>
      </c>
      <c r="AD350" s="141"/>
      <c r="AE350" s="38" t="s">
        <v>3045</v>
      </c>
      <c r="AF350" s="1360"/>
      <c r="AG350" s="1360"/>
      <c r="AH350" s="1360"/>
      <c r="AI350" s="1360"/>
      <c r="AJ350" s="1360"/>
      <c r="AK350" s="1360"/>
      <c r="AL350" s="1360"/>
      <c r="AM350" s="1360"/>
      <c r="AN350" s="1360"/>
      <c r="AO350" s="1360"/>
      <c r="AP350" s="1360"/>
      <c r="AQ350" s="1360"/>
      <c r="AR350" s="1360"/>
      <c r="AS350" s="1360"/>
      <c r="AT350" s="1360"/>
      <c r="AU350" s="1360"/>
      <c r="AV350" s="1360"/>
      <c r="AW350" s="1360"/>
      <c r="AX350" s="1360"/>
      <c r="AY350" s="1360"/>
    </row>
    <row r="351" spans="1:51" s="282" customFormat="1" ht="14.4">
      <c r="A351" s="888"/>
      <c r="B351" s="260" t="s">
        <v>28</v>
      </c>
      <c r="C351" s="4"/>
      <c r="D351" s="112" t="s">
        <v>29</v>
      </c>
      <c r="E351" s="112"/>
      <c r="F351" s="112"/>
      <c r="G351" s="112"/>
      <c r="H351" s="5" t="s">
        <v>70</v>
      </c>
      <c r="I351" s="12" t="s">
        <v>34</v>
      </c>
      <c r="J351" s="16" t="s">
        <v>982</v>
      </c>
      <c r="K351" s="16"/>
      <c r="L351" s="16"/>
      <c r="M351" s="176">
        <v>43374</v>
      </c>
      <c r="N351" s="176"/>
      <c r="O351" s="176">
        <v>43463</v>
      </c>
      <c r="P351" s="12">
        <v>24</v>
      </c>
      <c r="Q351" s="7" t="s">
        <v>365</v>
      </c>
      <c r="R351" s="18">
        <v>6024</v>
      </c>
      <c r="S351" s="30" t="s">
        <v>163</v>
      </c>
      <c r="T351" s="12" t="s">
        <v>54</v>
      </c>
      <c r="U351" s="4"/>
      <c r="V351" s="4"/>
      <c r="W351" s="12" t="s">
        <v>2616</v>
      </c>
      <c r="X351" s="5" t="s">
        <v>2599</v>
      </c>
      <c r="Y351" s="5" t="s">
        <v>457</v>
      </c>
      <c r="Z351" s="5"/>
      <c r="AA351" s="5"/>
      <c r="AB351" s="193"/>
      <c r="AC351" s="81" t="s">
        <v>3046</v>
      </c>
      <c r="AD351" s="117"/>
      <c r="AE351" s="17">
        <v>6325</v>
      </c>
      <c r="AF351" s="1360"/>
      <c r="AG351" s="1360"/>
      <c r="AH351" s="1360"/>
      <c r="AI351" s="1360"/>
      <c r="AJ351" s="1360"/>
      <c r="AK351" s="1360"/>
      <c r="AL351" s="1360"/>
      <c r="AM351" s="1360"/>
      <c r="AN351" s="1360"/>
      <c r="AO351" s="1360"/>
      <c r="AP351" s="1360"/>
      <c r="AQ351" s="1360"/>
      <c r="AR351" s="1360"/>
      <c r="AS351" s="1360"/>
      <c r="AT351" s="1360"/>
      <c r="AU351" s="1360"/>
      <c r="AV351" s="1360"/>
      <c r="AW351" s="1360"/>
      <c r="AX351" s="1360"/>
      <c r="AY351" s="1360"/>
    </row>
    <row r="352" spans="1:51" s="281" customFormat="1" ht="72">
      <c r="A352" s="888"/>
      <c r="B352" s="298"/>
      <c r="C352" s="1423" t="s">
        <v>35</v>
      </c>
      <c r="D352" s="1392" t="s">
        <v>29</v>
      </c>
      <c r="E352" s="1392"/>
      <c r="F352" s="1392"/>
      <c r="G352" s="1392"/>
      <c r="H352" s="1393" t="s">
        <v>70</v>
      </c>
      <c r="I352" s="1393" t="s">
        <v>34</v>
      </c>
      <c r="J352" s="1424" t="s">
        <v>3047</v>
      </c>
      <c r="K352" s="1424"/>
      <c r="L352" s="1424"/>
      <c r="M352" s="270" t="e">
        <f>IF(OR(#REF!=#REF!,#REF!=#REF!,#REF!=#REF!,#REF!=#REF!,#REF!=#REF!,#REF!=#REF!,#REF!=#REF!,#REF!=#REF!),12,IF(OR(#REF!=#REF!,#REF!=#REF!,#REF!=#REF!,#REF!=#REF!,#REF!=#REF!,#REF!=#REF!,#REF!=#REF!),3,IF(#REF!=#REF!,1,IF(#REF!=#REF!,18,IF(OR(#REF!=#REF!,#REF!=#REF!,#REF!=#REF!,#REF!=#REF!,#REF!=#REF!),14,"Invalid proposed procurement method")))))</f>
        <v>#REF!</v>
      </c>
      <c r="N352" s="270"/>
      <c r="O352" s="271" t="str">
        <f>IFERROR(EDATE($P352,-3),"Invalid procurement method or date entered")</f>
        <v>Invalid procurement method or date entered</v>
      </c>
      <c r="P352" s="271" t="str">
        <f>IFERROR(EDATE(R352,-M352),"Invalid procurement method or date entered")</f>
        <v>Invalid procurement method or date entered</v>
      </c>
      <c r="Q352" s="1425" t="s">
        <v>37</v>
      </c>
      <c r="R352" s="1425">
        <v>43922</v>
      </c>
      <c r="S352" s="1394" t="s">
        <v>35</v>
      </c>
      <c r="T352" s="1426"/>
      <c r="U352" s="273">
        <v>60000</v>
      </c>
      <c r="V352" s="273"/>
      <c r="W352" s="1393" t="s">
        <v>54</v>
      </c>
      <c r="X352" s="1427"/>
      <c r="Y352" s="1428"/>
      <c r="Z352" s="1428"/>
      <c r="AA352" s="1423"/>
      <c r="AB352" s="193" t="s">
        <v>1082</v>
      </c>
      <c r="AC352" s="1423"/>
      <c r="AD352" s="1392" t="s">
        <v>54</v>
      </c>
      <c r="AE352" s="270"/>
      <c r="AF352" s="1"/>
      <c r="AG352" s="1357"/>
      <c r="AH352" s="1357"/>
      <c r="AI352" s="1357"/>
      <c r="AJ352" s="1357"/>
      <c r="AK352" s="1357"/>
      <c r="AL352" s="1357"/>
      <c r="AM352" s="1357"/>
      <c r="AN352" s="1357"/>
      <c r="AO352" s="1357"/>
      <c r="AP352" s="1357"/>
      <c r="AQ352" s="1357"/>
      <c r="AR352" s="1357"/>
      <c r="AS352" s="1357"/>
      <c r="AT352" s="1357"/>
      <c r="AU352" s="1357"/>
      <c r="AV352" s="1357"/>
      <c r="AW352" s="1357"/>
      <c r="AX352" s="1357"/>
      <c r="AY352" s="1357"/>
    </row>
    <row r="353" spans="1:51" s="281" customFormat="1" ht="57.6">
      <c r="A353" s="888"/>
      <c r="B353" s="260" t="s">
        <v>28</v>
      </c>
      <c r="C353" s="168"/>
      <c r="D353" s="112" t="s">
        <v>29</v>
      </c>
      <c r="E353" s="112"/>
      <c r="F353" s="112"/>
      <c r="G353" s="112"/>
      <c r="H353" s="5" t="s">
        <v>70</v>
      </c>
      <c r="I353" s="5" t="s">
        <v>34</v>
      </c>
      <c r="J353" s="16" t="s">
        <v>3048</v>
      </c>
      <c r="K353" s="16"/>
      <c r="L353" s="16"/>
      <c r="M353" s="1429">
        <v>43101</v>
      </c>
      <c r="N353" s="1429"/>
      <c r="O353" s="1429">
        <v>43466</v>
      </c>
      <c r="P353" s="12">
        <v>12</v>
      </c>
      <c r="Q353" s="25" t="s">
        <v>108</v>
      </c>
      <c r="R353" s="18">
        <v>24995</v>
      </c>
      <c r="S353" s="30" t="s">
        <v>909</v>
      </c>
      <c r="T353" s="12" t="s">
        <v>54</v>
      </c>
      <c r="U353" s="168"/>
      <c r="V353" s="168"/>
      <c r="W353" s="5" t="s">
        <v>3049</v>
      </c>
      <c r="X353" s="68" t="s">
        <v>2988</v>
      </c>
      <c r="Y353" s="5" t="s">
        <v>457</v>
      </c>
      <c r="Z353" s="5"/>
      <c r="AA353" s="5"/>
      <c r="AB353" s="193">
        <v>43437</v>
      </c>
      <c r="AC353" s="8" t="s">
        <v>3050</v>
      </c>
      <c r="AD353" s="1379"/>
      <c r="AE353" s="38">
        <v>24995</v>
      </c>
      <c r="AF353" s="1357"/>
      <c r="AG353" s="1357"/>
      <c r="AH353" s="1357"/>
      <c r="AI353" s="1357"/>
      <c r="AJ353" s="1357"/>
      <c r="AK353" s="1357"/>
      <c r="AL353" s="1357"/>
      <c r="AM353" s="1357"/>
      <c r="AN353" s="1357"/>
      <c r="AO353" s="1357"/>
      <c r="AP353" s="1357"/>
      <c r="AQ353" s="1357"/>
      <c r="AR353" s="1357"/>
      <c r="AS353" s="1357"/>
      <c r="AT353" s="1357"/>
      <c r="AU353" s="1357"/>
      <c r="AV353" s="1357"/>
      <c r="AW353" s="1357"/>
      <c r="AX353" s="1357"/>
      <c r="AY353" s="1357"/>
    </row>
    <row r="354" spans="1:51" s="281" customFormat="1" ht="57.6">
      <c r="A354" s="888"/>
      <c r="B354" s="260" t="s">
        <v>28</v>
      </c>
      <c r="C354" s="4"/>
      <c r="D354" s="112" t="s">
        <v>29</v>
      </c>
      <c r="E354" s="112"/>
      <c r="F354" s="112"/>
      <c r="G354" s="112"/>
      <c r="H354" s="5" t="s">
        <v>70</v>
      </c>
      <c r="I354" s="5" t="s">
        <v>34</v>
      </c>
      <c r="J354" s="16" t="s">
        <v>3051</v>
      </c>
      <c r="K354" s="16"/>
      <c r="L354" s="16"/>
      <c r="M354" s="1429">
        <v>43101</v>
      </c>
      <c r="N354" s="1429"/>
      <c r="O354" s="1429">
        <v>43466</v>
      </c>
      <c r="P354" s="27">
        <v>12</v>
      </c>
      <c r="Q354" s="279" t="s">
        <v>108</v>
      </c>
      <c r="R354" s="202">
        <v>20763.63</v>
      </c>
      <c r="S354" s="5" t="s">
        <v>109</v>
      </c>
      <c r="T354" s="12" t="s">
        <v>54</v>
      </c>
      <c r="U354" s="4"/>
      <c r="V354" s="4"/>
      <c r="W354" s="5" t="s">
        <v>3049</v>
      </c>
      <c r="X354" s="5" t="s">
        <v>2988</v>
      </c>
      <c r="Y354" s="5" t="s">
        <v>457</v>
      </c>
      <c r="Z354" s="5"/>
      <c r="AA354" s="26"/>
      <c r="AB354" s="193">
        <v>43437</v>
      </c>
      <c r="AC354" s="102" t="s">
        <v>3052</v>
      </c>
      <c r="AD354" s="1379"/>
      <c r="AE354" s="38">
        <v>20763.63</v>
      </c>
      <c r="AF354" s="1357"/>
      <c r="AG354" s="1357"/>
      <c r="AH354" s="1357"/>
      <c r="AI354" s="1357"/>
      <c r="AJ354" s="1357"/>
      <c r="AK354" s="1357"/>
      <c r="AL354" s="1357"/>
      <c r="AM354" s="1357"/>
      <c r="AN354" s="1357"/>
      <c r="AO354" s="1357"/>
      <c r="AP354" s="1357"/>
      <c r="AQ354" s="1357"/>
      <c r="AR354" s="1357"/>
      <c r="AS354" s="1357"/>
      <c r="AT354" s="1357"/>
      <c r="AU354" s="1357"/>
      <c r="AV354" s="1357"/>
      <c r="AW354" s="1357"/>
      <c r="AX354" s="1357"/>
      <c r="AY354" s="1357"/>
    </row>
    <row r="355" spans="1:51" s="281" customFormat="1" ht="28.8">
      <c r="A355" s="888"/>
      <c r="B355" s="260" t="s">
        <v>28</v>
      </c>
      <c r="C355" s="4"/>
      <c r="D355" s="112" t="s">
        <v>29</v>
      </c>
      <c r="E355" s="112"/>
      <c r="F355" s="112"/>
      <c r="G355" s="112"/>
      <c r="H355" s="5" t="s">
        <v>2695</v>
      </c>
      <c r="I355" s="5" t="s">
        <v>34</v>
      </c>
      <c r="J355" s="16" t="s">
        <v>3053</v>
      </c>
      <c r="K355" s="16"/>
      <c r="L355" s="16"/>
      <c r="M355" s="176">
        <v>43132</v>
      </c>
      <c r="N355" s="176"/>
      <c r="O355" s="176">
        <v>43466</v>
      </c>
      <c r="P355" s="12">
        <v>36</v>
      </c>
      <c r="Q355" s="25" t="s">
        <v>488</v>
      </c>
      <c r="R355" s="18">
        <v>37500</v>
      </c>
      <c r="S355" s="5" t="s">
        <v>158</v>
      </c>
      <c r="T355" s="12" t="s">
        <v>110</v>
      </c>
      <c r="U355" s="4"/>
      <c r="V355" s="4"/>
      <c r="W355" s="5" t="s">
        <v>113</v>
      </c>
      <c r="X355" s="5" t="s">
        <v>2919</v>
      </c>
      <c r="Y355" s="5" t="s">
        <v>457</v>
      </c>
      <c r="Z355" s="5"/>
      <c r="AA355" s="26"/>
      <c r="AB355" s="1386">
        <v>43523</v>
      </c>
      <c r="AC355" s="35" t="s">
        <v>3054</v>
      </c>
      <c r="AD355" s="141"/>
      <c r="AE355" s="38"/>
      <c r="AF355" s="1357"/>
      <c r="AG355" s="1357"/>
      <c r="AH355" s="1357"/>
      <c r="AI355" s="1357"/>
      <c r="AJ355" s="1357"/>
      <c r="AK355" s="1357"/>
      <c r="AL355" s="1357"/>
      <c r="AM355" s="1357"/>
      <c r="AN355" s="1357"/>
      <c r="AO355" s="1357"/>
      <c r="AP355" s="1357"/>
      <c r="AQ355" s="1357"/>
      <c r="AR355" s="1357"/>
      <c r="AS355" s="1357"/>
      <c r="AT355" s="1357"/>
      <c r="AU355" s="1357"/>
      <c r="AV355" s="1357"/>
      <c r="AW355" s="1357"/>
      <c r="AX355" s="1357"/>
      <c r="AY355" s="1357"/>
    </row>
    <row r="356" spans="1:51" s="281" customFormat="1" ht="43.2">
      <c r="A356" s="888"/>
      <c r="B356" s="260" t="s">
        <v>28</v>
      </c>
      <c r="C356" s="168"/>
      <c r="D356" s="112" t="s">
        <v>29</v>
      </c>
      <c r="E356" s="112"/>
      <c r="F356" s="112"/>
      <c r="G356" s="112"/>
      <c r="H356" s="5" t="s">
        <v>2695</v>
      </c>
      <c r="I356" s="5" t="s">
        <v>34</v>
      </c>
      <c r="J356" s="16" t="s">
        <v>2744</v>
      </c>
      <c r="K356" s="16"/>
      <c r="L356" s="16"/>
      <c r="M356" s="176">
        <v>43191</v>
      </c>
      <c r="N356" s="176"/>
      <c r="O356" s="176">
        <v>43466</v>
      </c>
      <c r="P356" s="12">
        <v>12</v>
      </c>
      <c r="Q356" s="27">
        <v>12</v>
      </c>
      <c r="R356" s="18">
        <v>84000</v>
      </c>
      <c r="S356" s="5" t="s">
        <v>163</v>
      </c>
      <c r="T356" s="12" t="s">
        <v>54</v>
      </c>
      <c r="U356" s="168"/>
      <c r="V356" s="168"/>
      <c r="W356" s="5" t="s">
        <v>3055</v>
      </c>
      <c r="X356" s="5" t="s">
        <v>150</v>
      </c>
      <c r="Y356" s="5" t="s">
        <v>457</v>
      </c>
      <c r="Z356" s="5"/>
      <c r="AA356" s="26"/>
      <c r="AB356" s="193">
        <v>43272</v>
      </c>
      <c r="AC356" s="35" t="s">
        <v>3056</v>
      </c>
      <c r="AD356" s="141"/>
      <c r="AE356" s="17"/>
      <c r="AF356" s="1357"/>
      <c r="AG356" s="1357"/>
      <c r="AH356" s="1357"/>
      <c r="AI356" s="1357"/>
      <c r="AJ356" s="1357"/>
      <c r="AK356" s="1357"/>
      <c r="AL356" s="1357"/>
      <c r="AM356" s="1357"/>
      <c r="AN356" s="1357"/>
      <c r="AO356" s="1357"/>
      <c r="AP356" s="1357"/>
      <c r="AQ356" s="1357"/>
      <c r="AR356" s="1357"/>
      <c r="AS356" s="1357"/>
      <c r="AT356" s="1357"/>
      <c r="AU356" s="1357"/>
      <c r="AV356" s="1357"/>
      <c r="AW356" s="1357"/>
      <c r="AX356" s="1357"/>
      <c r="AY356" s="1357"/>
    </row>
    <row r="357" spans="1:51" s="281" customFormat="1" ht="28.8">
      <c r="A357" s="888"/>
      <c r="B357" s="260" t="s">
        <v>28</v>
      </c>
      <c r="C357" s="4"/>
      <c r="D357" s="112" t="s">
        <v>82</v>
      </c>
      <c r="E357" s="112"/>
      <c r="F357" s="112"/>
      <c r="G357" s="112"/>
      <c r="H357" s="5" t="s">
        <v>81</v>
      </c>
      <c r="I357" s="5" t="s">
        <v>64</v>
      </c>
      <c r="J357" s="16" t="s">
        <v>247</v>
      </c>
      <c r="K357" s="8"/>
      <c r="L357" s="8"/>
      <c r="M357" s="176">
        <v>43282</v>
      </c>
      <c r="N357" s="176"/>
      <c r="O357" s="176">
        <v>43466</v>
      </c>
      <c r="P357" s="70">
        <v>60</v>
      </c>
      <c r="Q357" s="25" t="s">
        <v>1095</v>
      </c>
      <c r="R357" s="18">
        <v>60000</v>
      </c>
      <c r="S357" s="5" t="s">
        <v>66</v>
      </c>
      <c r="T357" s="12" t="s">
        <v>54</v>
      </c>
      <c r="U357" s="4"/>
      <c r="V357" s="4"/>
      <c r="W357" s="5" t="s">
        <v>249</v>
      </c>
      <c r="X357" s="5" t="s">
        <v>2788</v>
      </c>
      <c r="Y357" s="5" t="s">
        <v>457</v>
      </c>
      <c r="Z357" s="5"/>
      <c r="AA357" s="26"/>
      <c r="AB357" s="193">
        <v>43427</v>
      </c>
      <c r="AC357" s="8" t="s">
        <v>3057</v>
      </c>
      <c r="AD357" s="141"/>
      <c r="AE357" s="38"/>
      <c r="AF357" s="1357"/>
      <c r="AG357" s="1357"/>
      <c r="AH357" s="1357"/>
      <c r="AI357" s="1357"/>
      <c r="AJ357" s="1357"/>
      <c r="AK357" s="1357"/>
      <c r="AL357" s="1357"/>
      <c r="AM357" s="1357"/>
      <c r="AN357" s="1357"/>
      <c r="AO357" s="1357"/>
      <c r="AP357" s="1357"/>
      <c r="AQ357" s="1357"/>
      <c r="AR357" s="1357"/>
      <c r="AS357" s="1357"/>
      <c r="AT357" s="1357"/>
      <c r="AU357" s="1357"/>
      <c r="AV357" s="1357"/>
      <c r="AW357" s="1357"/>
      <c r="AX357" s="1357"/>
      <c r="AY357" s="1357"/>
    </row>
    <row r="358" spans="1:51" s="282" customFormat="1" ht="28.8">
      <c r="A358" s="888"/>
      <c r="B358" s="260" t="s">
        <v>28</v>
      </c>
      <c r="C358" s="4"/>
      <c r="D358" s="112" t="s">
        <v>82</v>
      </c>
      <c r="E358" s="112"/>
      <c r="F358" s="112"/>
      <c r="G358" s="112"/>
      <c r="H358" s="5" t="s">
        <v>81</v>
      </c>
      <c r="I358" s="5" t="s">
        <v>64</v>
      </c>
      <c r="J358" s="16" t="s">
        <v>247</v>
      </c>
      <c r="K358" s="8"/>
      <c r="L358" s="8"/>
      <c r="M358" s="176">
        <v>43282</v>
      </c>
      <c r="N358" s="176"/>
      <c r="O358" s="176">
        <v>43466</v>
      </c>
      <c r="P358" s="12">
        <v>60</v>
      </c>
      <c r="Q358" s="7" t="s">
        <v>1095</v>
      </c>
      <c r="R358" s="18">
        <v>60000</v>
      </c>
      <c r="S358" s="30" t="s">
        <v>66</v>
      </c>
      <c r="T358" s="12" t="s">
        <v>54</v>
      </c>
      <c r="U358" s="4"/>
      <c r="V358" s="4"/>
      <c r="W358" s="5" t="s">
        <v>249</v>
      </c>
      <c r="X358" s="5" t="s">
        <v>2788</v>
      </c>
      <c r="Y358" s="5" t="s">
        <v>457</v>
      </c>
      <c r="Z358" s="5"/>
      <c r="AA358" s="5"/>
      <c r="AB358" s="193">
        <v>43427</v>
      </c>
      <c r="AC358" s="8" t="s">
        <v>3057</v>
      </c>
      <c r="AD358" s="141"/>
      <c r="AE358" s="38"/>
      <c r="AF358" s="1357"/>
      <c r="AG358" s="1360"/>
      <c r="AH358" s="1360"/>
      <c r="AI358" s="1360"/>
      <c r="AJ358" s="1360"/>
      <c r="AK358" s="1360"/>
      <c r="AL358" s="1360"/>
      <c r="AM358" s="1360"/>
      <c r="AN358" s="1360"/>
      <c r="AO358" s="1360"/>
      <c r="AP358" s="1360"/>
      <c r="AQ358" s="1360"/>
      <c r="AR358" s="1360"/>
      <c r="AS358" s="1360"/>
      <c r="AT358" s="1360"/>
      <c r="AU358" s="1360"/>
      <c r="AV358" s="1360"/>
      <c r="AW358" s="1360"/>
      <c r="AX358" s="1360"/>
      <c r="AY358" s="1360"/>
    </row>
    <row r="359" spans="1:51" s="281" customFormat="1" ht="79.5" customHeight="1">
      <c r="A359" s="888"/>
      <c r="B359" s="260" t="s">
        <v>28</v>
      </c>
      <c r="C359" s="4"/>
      <c r="D359" s="112" t="s">
        <v>29</v>
      </c>
      <c r="E359" s="112"/>
      <c r="F359" s="112"/>
      <c r="G359" s="112"/>
      <c r="H359" s="5" t="s">
        <v>2695</v>
      </c>
      <c r="I359" s="5" t="s">
        <v>34</v>
      </c>
      <c r="J359" s="16" t="s">
        <v>1089</v>
      </c>
      <c r="K359" s="16"/>
      <c r="L359" s="16"/>
      <c r="M359" s="176">
        <v>43313</v>
      </c>
      <c r="N359" s="176"/>
      <c r="O359" s="176">
        <v>43466</v>
      </c>
      <c r="P359" s="12">
        <v>12</v>
      </c>
      <c r="Q359" s="25" t="s">
        <v>108</v>
      </c>
      <c r="R359" s="18">
        <v>3530.4</v>
      </c>
      <c r="S359" s="30" t="s">
        <v>909</v>
      </c>
      <c r="T359" s="12" t="s">
        <v>54</v>
      </c>
      <c r="U359" s="4"/>
      <c r="V359" s="4"/>
      <c r="W359" s="5" t="s">
        <v>2734</v>
      </c>
      <c r="X359" s="5" t="s">
        <v>1053</v>
      </c>
      <c r="Y359" s="5" t="s">
        <v>457</v>
      </c>
      <c r="Z359" s="5"/>
      <c r="AA359" s="12"/>
      <c r="AB359" s="193">
        <v>43507</v>
      </c>
      <c r="AC359" s="8" t="s">
        <v>3058</v>
      </c>
      <c r="AD359" s="141"/>
      <c r="AE359" s="18">
        <v>3530</v>
      </c>
      <c r="AF359" s="1357"/>
      <c r="AG359" s="1357"/>
      <c r="AH359" s="1357"/>
      <c r="AI359" s="1357"/>
      <c r="AJ359" s="1357"/>
      <c r="AK359" s="1357"/>
      <c r="AL359" s="1357"/>
      <c r="AM359" s="1357"/>
      <c r="AN359" s="1357"/>
      <c r="AO359" s="1357"/>
      <c r="AP359" s="1357"/>
      <c r="AQ359" s="1357"/>
      <c r="AR359" s="1357"/>
      <c r="AS359" s="1357"/>
      <c r="AT359" s="1357"/>
      <c r="AU359" s="1357"/>
      <c r="AV359" s="1357"/>
      <c r="AW359" s="1357"/>
      <c r="AX359" s="1357"/>
      <c r="AY359" s="1357"/>
    </row>
    <row r="360" spans="1:51" s="281" customFormat="1" ht="79.5" customHeight="1">
      <c r="A360" s="888"/>
      <c r="B360" s="260" t="s">
        <v>28</v>
      </c>
      <c r="C360" s="4"/>
      <c r="D360" s="112" t="s">
        <v>60</v>
      </c>
      <c r="E360" s="112"/>
      <c r="F360" s="112"/>
      <c r="G360" s="112"/>
      <c r="H360" s="5" t="s">
        <v>171</v>
      </c>
      <c r="I360" s="12" t="s">
        <v>34</v>
      </c>
      <c r="J360" s="16" t="s">
        <v>3059</v>
      </c>
      <c r="K360" s="16"/>
      <c r="L360" s="16"/>
      <c r="M360" s="176">
        <v>43334</v>
      </c>
      <c r="N360" s="176"/>
      <c r="O360" s="176">
        <v>43466</v>
      </c>
      <c r="P360" s="12" t="s">
        <v>125</v>
      </c>
      <c r="Q360" s="28" t="s">
        <v>125</v>
      </c>
      <c r="R360" s="18">
        <v>25000</v>
      </c>
      <c r="S360" s="30" t="s">
        <v>909</v>
      </c>
      <c r="T360" s="12" t="s">
        <v>54</v>
      </c>
      <c r="U360" s="4"/>
      <c r="V360" s="4"/>
      <c r="W360" s="12" t="s">
        <v>3060</v>
      </c>
      <c r="X360" s="5" t="s">
        <v>1536</v>
      </c>
      <c r="Y360" s="5" t="s">
        <v>59</v>
      </c>
      <c r="Z360" s="5"/>
      <c r="AA360" s="5"/>
      <c r="AB360" s="193">
        <v>43500</v>
      </c>
      <c r="AC360" s="8" t="s">
        <v>3061</v>
      </c>
      <c r="AD360" s="141"/>
      <c r="AE360" s="38"/>
      <c r="AF360" s="1360"/>
      <c r="AG360" s="1357"/>
      <c r="AH360" s="1357"/>
      <c r="AI360" s="1357"/>
      <c r="AJ360" s="1357"/>
      <c r="AK360" s="1357"/>
      <c r="AL360" s="1357"/>
      <c r="AM360" s="1357"/>
      <c r="AN360" s="1357"/>
      <c r="AO360" s="1357"/>
      <c r="AP360" s="1357"/>
      <c r="AQ360" s="1357"/>
      <c r="AR360" s="1357"/>
      <c r="AS360" s="1357"/>
      <c r="AT360" s="1357"/>
      <c r="AU360" s="1357"/>
      <c r="AV360" s="1357"/>
      <c r="AW360" s="1357"/>
      <c r="AX360" s="1357"/>
      <c r="AY360" s="1357"/>
    </row>
    <row r="361" spans="1:51" s="1" customFormat="1" ht="28.8">
      <c r="A361" s="888"/>
      <c r="B361" s="260" t="s">
        <v>28</v>
      </c>
      <c r="C361" s="4"/>
      <c r="D361" s="112" t="s">
        <v>29</v>
      </c>
      <c r="E361" s="112"/>
      <c r="F361" s="112"/>
      <c r="G361" s="112"/>
      <c r="H361" s="5" t="s">
        <v>2695</v>
      </c>
      <c r="I361" s="12" t="s">
        <v>34</v>
      </c>
      <c r="J361" s="16" t="s">
        <v>2736</v>
      </c>
      <c r="K361" s="16"/>
      <c r="L361" s="16"/>
      <c r="M361" s="176">
        <v>43344</v>
      </c>
      <c r="N361" s="176"/>
      <c r="O361" s="176">
        <v>43466</v>
      </c>
      <c r="P361" s="12">
        <v>12</v>
      </c>
      <c r="Q361" s="25" t="s">
        <v>108</v>
      </c>
      <c r="R361" s="18">
        <v>8000</v>
      </c>
      <c r="S361" s="30" t="s">
        <v>2615</v>
      </c>
      <c r="T361" s="12" t="s">
        <v>54</v>
      </c>
      <c r="U361" s="4"/>
      <c r="V361" s="4"/>
      <c r="W361" s="12" t="s">
        <v>113</v>
      </c>
      <c r="X361" s="5" t="s">
        <v>150</v>
      </c>
      <c r="Y361" s="5" t="s">
        <v>457</v>
      </c>
      <c r="Z361" s="5"/>
      <c r="AA361" s="5"/>
      <c r="AB361" s="193">
        <v>43361</v>
      </c>
      <c r="AC361" s="8" t="s">
        <v>3062</v>
      </c>
      <c r="AD361" s="141"/>
      <c r="AE361" s="17"/>
    </row>
    <row r="362" spans="1:51" s="281" customFormat="1" ht="60" customHeight="1">
      <c r="A362" s="1364"/>
      <c r="B362" s="260" t="s">
        <v>28</v>
      </c>
      <c r="C362" s="4"/>
      <c r="D362" s="274" t="s">
        <v>29</v>
      </c>
      <c r="E362" s="274"/>
      <c r="F362" s="274"/>
      <c r="G362" s="274"/>
      <c r="H362" s="270" t="s">
        <v>1292</v>
      </c>
      <c r="I362" s="270" t="s">
        <v>64</v>
      </c>
      <c r="J362" s="262" t="s">
        <v>379</v>
      </c>
      <c r="K362" s="274"/>
      <c r="L362" s="274"/>
      <c r="M362" s="1137">
        <v>43435</v>
      </c>
      <c r="N362" s="1133"/>
      <c r="O362" s="1133">
        <v>43466</v>
      </c>
      <c r="P362" s="270">
        <v>58</v>
      </c>
      <c r="Q362" s="311" t="s">
        <v>3063</v>
      </c>
      <c r="R362" s="273">
        <v>140000</v>
      </c>
      <c r="S362" s="309" t="s">
        <v>66</v>
      </c>
      <c r="T362" s="308" t="s">
        <v>54</v>
      </c>
      <c r="U362" s="260"/>
      <c r="V362" s="1"/>
      <c r="W362" s="270" t="s">
        <v>3064</v>
      </c>
      <c r="X362" s="270" t="s">
        <v>68</v>
      </c>
      <c r="Y362" s="270" t="s">
        <v>457</v>
      </c>
      <c r="Z362" s="270"/>
      <c r="AA362" s="270"/>
      <c r="AB362" s="1386">
        <v>43503</v>
      </c>
      <c r="AC362" s="274" t="s">
        <v>3065</v>
      </c>
      <c r="AD362" s="260"/>
      <c r="AE362" s="290"/>
      <c r="AF362" s="1357"/>
      <c r="AG362" s="1357"/>
      <c r="AH362" s="1357"/>
      <c r="AI362" s="1357"/>
      <c r="AJ362" s="1357"/>
      <c r="AK362" s="1357"/>
      <c r="AL362" s="1357"/>
      <c r="AM362" s="1357"/>
      <c r="AN362" s="1357"/>
      <c r="AO362" s="1357"/>
      <c r="AP362" s="1357"/>
      <c r="AQ362" s="1357"/>
      <c r="AR362" s="1357"/>
      <c r="AS362" s="1357"/>
      <c r="AT362" s="1357"/>
      <c r="AU362" s="1357"/>
      <c r="AV362" s="1357"/>
      <c r="AW362" s="1357"/>
      <c r="AX362" s="1357"/>
      <c r="AY362" s="1357"/>
    </row>
    <row r="363" spans="1:51" s="1" customFormat="1" ht="57.6">
      <c r="A363" s="888"/>
      <c r="B363" s="260" t="s">
        <v>28</v>
      </c>
      <c r="C363" s="4"/>
      <c r="D363" s="115" t="s">
        <v>29</v>
      </c>
      <c r="E363" s="115"/>
      <c r="F363" s="115"/>
      <c r="G363" s="115"/>
      <c r="H363" s="9" t="s">
        <v>70</v>
      </c>
      <c r="I363" s="9" t="s">
        <v>34</v>
      </c>
      <c r="J363" s="16" t="s">
        <v>3066</v>
      </c>
      <c r="K363" s="16"/>
      <c r="L363" s="16"/>
      <c r="M363" s="46">
        <v>43617</v>
      </c>
      <c r="N363" s="46"/>
      <c r="O363" s="46">
        <v>43466</v>
      </c>
      <c r="P363" s="15">
        <v>12</v>
      </c>
      <c r="Q363" s="1166" t="s">
        <v>108</v>
      </c>
      <c r="R363" s="18">
        <v>1920</v>
      </c>
      <c r="S363" s="30" t="s">
        <v>66</v>
      </c>
      <c r="T363" s="15" t="s">
        <v>54</v>
      </c>
      <c r="U363" s="4"/>
      <c r="V363" s="4"/>
      <c r="W363" s="5" t="s">
        <v>2967</v>
      </c>
      <c r="X363" s="9" t="s">
        <v>150</v>
      </c>
      <c r="Y363" s="5" t="s">
        <v>457</v>
      </c>
      <c r="Z363" s="5"/>
      <c r="AA363" s="9"/>
      <c r="AB363" s="177">
        <v>43361</v>
      </c>
      <c r="AC363" s="6" t="s">
        <v>3067</v>
      </c>
      <c r="AD363" s="141"/>
      <c r="AE363" s="40"/>
      <c r="AF363" s="1357"/>
    </row>
    <row r="364" spans="1:51" s="281" customFormat="1" ht="230.25" customHeight="1">
      <c r="A364" s="888"/>
      <c r="B364" s="260" t="s">
        <v>28</v>
      </c>
      <c r="C364" s="4"/>
      <c r="D364" s="1430" t="s">
        <v>29</v>
      </c>
      <c r="E364" s="1430"/>
      <c r="F364" s="1430"/>
      <c r="G364" s="1430"/>
      <c r="H364" s="1375" t="s">
        <v>364</v>
      </c>
      <c r="I364" s="1403" t="s">
        <v>34</v>
      </c>
      <c r="J364" s="1401" t="s">
        <v>3068</v>
      </c>
      <c r="K364" s="1417"/>
      <c r="L364" s="1417"/>
      <c r="M364" s="1400"/>
      <c r="N364" s="1400"/>
      <c r="O364" s="1402">
        <v>43466</v>
      </c>
      <c r="P364" s="1403">
        <v>24</v>
      </c>
      <c r="Q364" s="1404">
        <v>24</v>
      </c>
      <c r="R364" s="18">
        <v>30000</v>
      </c>
      <c r="S364" s="1405" t="s">
        <v>2526</v>
      </c>
      <c r="T364" s="1403" t="s">
        <v>54</v>
      </c>
      <c r="U364" s="4"/>
      <c r="V364" s="4"/>
      <c r="W364" s="1352" t="s">
        <v>2950</v>
      </c>
      <c r="X364" s="1393" t="s">
        <v>1053</v>
      </c>
      <c r="Y364" s="30" t="s">
        <v>457</v>
      </c>
      <c r="Z364" s="5"/>
      <c r="AA364" s="1406"/>
      <c r="AB364" s="1386">
        <v>43453</v>
      </c>
      <c r="AC364" s="1407" t="s">
        <v>3069</v>
      </c>
      <c r="AD364" s="141"/>
      <c r="AE364" s="1418"/>
      <c r="AF364" s="1357"/>
      <c r="AG364" s="1357"/>
      <c r="AH364" s="1357"/>
      <c r="AI364" s="1357"/>
      <c r="AJ364" s="1357"/>
      <c r="AK364" s="1357"/>
      <c r="AL364" s="1357"/>
      <c r="AM364" s="1357"/>
      <c r="AN364" s="1357"/>
      <c r="AO364" s="1357"/>
      <c r="AP364" s="1357"/>
      <c r="AQ364" s="1357"/>
      <c r="AR364" s="1357"/>
      <c r="AS364" s="1357"/>
      <c r="AT364" s="1357"/>
      <c r="AU364" s="1357"/>
      <c r="AV364" s="1357"/>
      <c r="AW364" s="1357"/>
      <c r="AX364" s="1357"/>
      <c r="AY364" s="1357"/>
    </row>
    <row r="365" spans="1:51" ht="28.8">
      <c r="A365" s="888"/>
      <c r="B365" s="260" t="s">
        <v>28</v>
      </c>
      <c r="C365" s="260"/>
      <c r="D365" s="1387" t="s">
        <v>29</v>
      </c>
      <c r="E365" s="1387"/>
      <c r="F365" s="1387"/>
      <c r="G365" s="1387"/>
      <c r="H365" s="1388" t="s">
        <v>364</v>
      </c>
      <c r="I365" s="1389" t="s">
        <v>34</v>
      </c>
      <c r="J365" s="1431" t="s">
        <v>3070</v>
      </c>
      <c r="K365" s="1431"/>
      <c r="L365" s="1390"/>
      <c r="M365" s="1389"/>
      <c r="N365" s="1389"/>
      <c r="O365" s="1391">
        <v>43466</v>
      </c>
      <c r="P365" s="1432">
        <v>36</v>
      </c>
      <c r="Q365" s="1390"/>
      <c r="R365" s="1191">
        <v>26000</v>
      </c>
      <c r="S365" s="1433" t="s">
        <v>35</v>
      </c>
      <c r="T365" s="1389" t="s">
        <v>54</v>
      </c>
      <c r="U365" s="260"/>
      <c r="V365" s="1"/>
      <c r="W365" s="1389" t="s">
        <v>2950</v>
      </c>
      <c r="X365" s="1434" t="s">
        <v>1053</v>
      </c>
      <c r="Y365" s="270" t="s">
        <v>457</v>
      </c>
      <c r="Z365" s="270"/>
      <c r="AA365" s="1387"/>
      <c r="AB365" s="1386">
        <v>43455</v>
      </c>
      <c r="AC365" s="1396" t="s">
        <v>3069</v>
      </c>
      <c r="AD365" s="260"/>
      <c r="AE365" s="1435"/>
      <c r="AF365" s="1357"/>
    </row>
    <row r="366" spans="1:51" ht="28.8">
      <c r="A366" s="888"/>
      <c r="B366" s="260" t="s">
        <v>28</v>
      </c>
      <c r="C366" s="4"/>
      <c r="D366" s="1398" t="s">
        <v>29</v>
      </c>
      <c r="E366" s="1398"/>
      <c r="F366" s="1398"/>
      <c r="G366" s="1398"/>
      <c r="H366" s="1399" t="s">
        <v>364</v>
      </c>
      <c r="I366" s="1436" t="s">
        <v>34</v>
      </c>
      <c r="J366" s="1390" t="s">
        <v>3071</v>
      </c>
      <c r="K366" s="1437"/>
      <c r="L366" s="1438"/>
      <c r="M366" s="1400"/>
      <c r="N366" s="1400"/>
      <c r="O366" s="1402">
        <v>43466</v>
      </c>
      <c r="P366" s="1439">
        <v>36</v>
      </c>
      <c r="Q366" s="1393" t="s">
        <v>236</v>
      </c>
      <c r="R366" s="202">
        <v>28000</v>
      </c>
      <c r="S366" s="1403" t="s">
        <v>2526</v>
      </c>
      <c r="T366" s="1403" t="s">
        <v>54</v>
      </c>
      <c r="U366" s="4"/>
      <c r="V366" s="4"/>
      <c r="W366" s="1403" t="s">
        <v>2950</v>
      </c>
      <c r="X366" s="1375" t="s">
        <v>1053</v>
      </c>
      <c r="Y366" s="5" t="s">
        <v>457</v>
      </c>
      <c r="Z366" s="5"/>
      <c r="AA366" s="1440"/>
      <c r="AB366" s="1386">
        <v>43437</v>
      </c>
      <c r="AC366" s="1407" t="s">
        <v>3069</v>
      </c>
      <c r="AD366" s="172"/>
      <c r="AE366" s="1418"/>
      <c r="AF366" s="1357"/>
    </row>
    <row r="367" spans="1:51" ht="39.6">
      <c r="A367" s="852"/>
      <c r="B367" s="714" t="s">
        <v>48</v>
      </c>
      <c r="C367" s="608" t="s">
        <v>1715</v>
      </c>
      <c r="D367" s="609" t="s">
        <v>29</v>
      </c>
      <c r="E367" s="609"/>
      <c r="F367" s="609"/>
      <c r="G367" s="609"/>
      <c r="H367" s="609" t="s">
        <v>49</v>
      </c>
      <c r="I367" s="742" t="s">
        <v>34</v>
      </c>
      <c r="J367" s="1027" t="s">
        <v>1716</v>
      </c>
      <c r="K367" s="749"/>
      <c r="L367" s="1130">
        <v>43361</v>
      </c>
      <c r="M367" s="615"/>
      <c r="N367" s="615"/>
      <c r="O367" s="615">
        <v>43466</v>
      </c>
      <c r="P367" s="762">
        <v>3</v>
      </c>
      <c r="Q367" s="764">
        <v>3</v>
      </c>
      <c r="R367" s="778">
        <v>320000</v>
      </c>
      <c r="S367" s="802" t="s">
        <v>1663</v>
      </c>
      <c r="T367" s="615" t="s">
        <v>54</v>
      </c>
      <c r="U367" s="615"/>
      <c r="V367" s="593"/>
      <c r="W367" s="739" t="s">
        <v>1717</v>
      </c>
      <c r="X367" s="821"/>
      <c r="Y367" s="297"/>
      <c r="Z367" s="297"/>
      <c r="AA367" s="297"/>
      <c r="AB367" s="114"/>
      <c r="AC367" s="297"/>
      <c r="AD367" s="297"/>
      <c r="AE367" s="297"/>
      <c r="AF367" s="1357"/>
    </row>
    <row r="368" spans="1:51" ht="52.8">
      <c r="A368" s="852"/>
      <c r="B368" s="714" t="s">
        <v>48</v>
      </c>
      <c r="C368" s="465" t="s">
        <v>1720</v>
      </c>
      <c r="D368" s="554" t="s">
        <v>60</v>
      </c>
      <c r="E368" s="554"/>
      <c r="F368" s="554"/>
      <c r="G368" s="554"/>
      <c r="H368" s="466" t="s">
        <v>127</v>
      </c>
      <c r="I368" s="738" t="s">
        <v>34</v>
      </c>
      <c r="J368" s="1027" t="s">
        <v>1721</v>
      </c>
      <c r="K368" s="578"/>
      <c r="L368" s="792">
        <v>43467</v>
      </c>
      <c r="M368" s="470"/>
      <c r="N368" s="470"/>
      <c r="O368" s="540">
        <v>43467</v>
      </c>
      <c r="P368" s="761">
        <v>2.5</v>
      </c>
      <c r="Q368" s="764">
        <v>2.5</v>
      </c>
      <c r="R368" s="781">
        <v>153806</v>
      </c>
      <c r="S368" s="798" t="s">
        <v>1663</v>
      </c>
      <c r="T368" s="615" t="s">
        <v>54</v>
      </c>
      <c r="U368" s="792"/>
      <c r="V368" s="792"/>
      <c r="W368" s="474" t="s">
        <v>1722</v>
      </c>
      <c r="X368" s="114"/>
      <c r="Y368" s="114"/>
      <c r="Z368" s="114"/>
      <c r="AA368" s="114"/>
      <c r="AB368" s="114"/>
      <c r="AC368" s="114"/>
      <c r="AD368" s="303"/>
      <c r="AE368" s="114"/>
      <c r="AF368" s="1360"/>
    </row>
    <row r="369" spans="1:32" ht="70.349999999999994" customHeight="1">
      <c r="A369" s="852"/>
      <c r="B369" s="714" t="s">
        <v>48</v>
      </c>
      <c r="C369" s="465" t="s">
        <v>1767</v>
      </c>
      <c r="D369" s="554" t="s">
        <v>60</v>
      </c>
      <c r="E369" s="554"/>
      <c r="F369" s="554"/>
      <c r="G369" s="554"/>
      <c r="H369" s="466" t="s">
        <v>127</v>
      </c>
      <c r="I369" s="738" t="s">
        <v>34</v>
      </c>
      <c r="J369" s="1027" t="s">
        <v>1768</v>
      </c>
      <c r="K369" s="578"/>
      <c r="L369" s="750">
        <v>43282</v>
      </c>
      <c r="M369" s="540"/>
      <c r="N369" s="540"/>
      <c r="O369" s="540">
        <v>43468</v>
      </c>
      <c r="P369" s="761">
        <v>63</v>
      </c>
      <c r="Q369" s="764" t="s">
        <v>1769</v>
      </c>
      <c r="R369" s="777">
        <v>4500000</v>
      </c>
      <c r="S369" s="791" t="s">
        <v>163</v>
      </c>
      <c r="T369" s="470" t="s">
        <v>41</v>
      </c>
      <c r="U369" s="470"/>
      <c r="V369" s="470"/>
      <c r="W369" s="474" t="s">
        <v>182</v>
      </c>
      <c r="X369" s="114"/>
      <c r="Y369" s="114"/>
      <c r="Z369" s="114"/>
      <c r="AA369" s="114"/>
      <c r="AB369" s="114"/>
      <c r="AC369" s="114"/>
      <c r="AD369" s="303"/>
      <c r="AE369" s="114"/>
      <c r="AF369" s="1360"/>
    </row>
    <row r="370" spans="1:32" ht="43.2">
      <c r="A370" s="887"/>
      <c r="B370" s="260" t="s">
        <v>28</v>
      </c>
      <c r="C370" s="4"/>
      <c r="D370" s="112" t="s">
        <v>29</v>
      </c>
      <c r="E370" s="112"/>
      <c r="F370" s="112"/>
      <c r="G370" s="112"/>
      <c r="H370" s="5" t="s">
        <v>2810</v>
      </c>
      <c r="I370" s="10" t="s">
        <v>34</v>
      </c>
      <c r="J370" s="16" t="s">
        <v>3072</v>
      </c>
      <c r="K370" s="16"/>
      <c r="L370" s="16"/>
      <c r="M370" s="176">
        <v>43270</v>
      </c>
      <c r="N370" s="176"/>
      <c r="O370" s="176">
        <v>43472</v>
      </c>
      <c r="P370" s="27">
        <v>48</v>
      </c>
      <c r="Q370" s="314" t="s">
        <v>191</v>
      </c>
      <c r="R370" s="1189">
        <v>63340</v>
      </c>
      <c r="S370" s="30" t="s">
        <v>1163</v>
      </c>
      <c r="T370" s="12" t="s">
        <v>54</v>
      </c>
      <c r="U370" s="4"/>
      <c r="V370" s="4"/>
      <c r="W370" s="12" t="s">
        <v>3073</v>
      </c>
      <c r="X370" s="12" t="s">
        <v>1097</v>
      </c>
      <c r="Y370" s="5" t="s">
        <v>457</v>
      </c>
      <c r="Z370" s="5"/>
      <c r="AA370" s="12"/>
      <c r="AB370" s="193">
        <v>43468</v>
      </c>
      <c r="AC370" s="111" t="s">
        <v>3074</v>
      </c>
      <c r="AD370" s="141"/>
      <c r="AE370" s="39">
        <v>11235</v>
      </c>
      <c r="AF370" s="1360"/>
    </row>
    <row r="371" spans="1:32" ht="63.75" customHeight="1">
      <c r="A371" s="888"/>
      <c r="B371" s="260" t="s">
        <v>28</v>
      </c>
      <c r="C371" s="4"/>
      <c r="D371" s="112" t="s">
        <v>29</v>
      </c>
      <c r="E371" s="112"/>
      <c r="F371" s="112"/>
      <c r="G371" s="112"/>
      <c r="H371" s="5" t="s">
        <v>2810</v>
      </c>
      <c r="I371" s="10" t="s">
        <v>34</v>
      </c>
      <c r="J371" s="16" t="s">
        <v>3072</v>
      </c>
      <c r="K371" s="16"/>
      <c r="L371" s="16"/>
      <c r="M371" s="176">
        <v>43270</v>
      </c>
      <c r="N371" s="176"/>
      <c r="O371" s="176">
        <v>43472</v>
      </c>
      <c r="P371" s="1164">
        <v>48</v>
      </c>
      <c r="Q371" s="1173" t="s">
        <v>191</v>
      </c>
      <c r="R371" s="1192">
        <v>63340</v>
      </c>
      <c r="S371" s="30" t="s">
        <v>1163</v>
      </c>
      <c r="T371" s="12" t="s">
        <v>54</v>
      </c>
      <c r="U371" s="4"/>
      <c r="V371" s="4"/>
      <c r="W371" s="27" t="s">
        <v>3073</v>
      </c>
      <c r="X371" s="1160" t="s">
        <v>1097</v>
      </c>
      <c r="Y371" s="30" t="s">
        <v>457</v>
      </c>
      <c r="Z371" s="5"/>
      <c r="AA371" s="27"/>
      <c r="AB371" s="193">
        <v>43468</v>
      </c>
      <c r="AC371" s="111" t="s">
        <v>3074</v>
      </c>
      <c r="AD371" s="141"/>
      <c r="AE371" s="39">
        <v>11235</v>
      </c>
      <c r="AF371" s="1360"/>
    </row>
    <row r="372" spans="1:32" ht="43.35" customHeight="1">
      <c r="A372" s="888"/>
      <c r="B372" s="260" t="s">
        <v>28</v>
      </c>
      <c r="C372" s="4"/>
      <c r="D372" s="112" t="s">
        <v>29</v>
      </c>
      <c r="E372" s="112"/>
      <c r="F372" s="112"/>
      <c r="G372" s="112"/>
      <c r="H372" s="5" t="s">
        <v>70</v>
      </c>
      <c r="I372" s="12" t="s">
        <v>34</v>
      </c>
      <c r="J372" s="16" t="s">
        <v>2749</v>
      </c>
      <c r="K372" s="16"/>
      <c r="L372" s="16"/>
      <c r="M372" s="176">
        <v>43313</v>
      </c>
      <c r="N372" s="176"/>
      <c r="O372" s="176">
        <v>43484</v>
      </c>
      <c r="P372" s="27">
        <v>12</v>
      </c>
      <c r="Q372" s="279" t="s">
        <v>108</v>
      </c>
      <c r="R372" s="202">
        <v>6340</v>
      </c>
      <c r="S372" s="5" t="s">
        <v>909</v>
      </c>
      <c r="T372" s="12" t="s">
        <v>54</v>
      </c>
      <c r="U372" s="4"/>
      <c r="V372" s="4"/>
      <c r="W372" s="12" t="s">
        <v>2616</v>
      </c>
      <c r="X372" s="5" t="s">
        <v>1053</v>
      </c>
      <c r="Y372" s="5" t="s">
        <v>457</v>
      </c>
      <c r="Z372" s="5"/>
      <c r="AA372" s="26"/>
      <c r="AB372" s="193">
        <v>43489</v>
      </c>
      <c r="AC372" s="102" t="s">
        <v>3075</v>
      </c>
      <c r="AD372" s="141"/>
      <c r="AE372" s="38"/>
      <c r="AF372" s="1357"/>
    </row>
    <row r="373" spans="1:32" ht="29.1" customHeight="1">
      <c r="A373" s="852"/>
      <c r="B373" s="714" t="s">
        <v>48</v>
      </c>
      <c r="C373" s="465" t="s">
        <v>1908</v>
      </c>
      <c r="D373" s="554" t="s">
        <v>82</v>
      </c>
      <c r="E373" s="554"/>
      <c r="F373" s="554"/>
      <c r="G373" s="554"/>
      <c r="H373" s="466" t="s">
        <v>49</v>
      </c>
      <c r="I373" s="474" t="s">
        <v>34</v>
      </c>
      <c r="J373" s="1024" t="s">
        <v>1909</v>
      </c>
      <c r="K373" s="467"/>
      <c r="L373" s="485">
        <v>43395</v>
      </c>
      <c r="M373" s="485"/>
      <c r="N373" s="485"/>
      <c r="O373" s="485">
        <v>43487</v>
      </c>
      <c r="P373" s="761">
        <v>18</v>
      </c>
      <c r="Q373" s="764">
        <v>18</v>
      </c>
      <c r="R373" s="777">
        <v>5900000</v>
      </c>
      <c r="S373" s="791" t="s">
        <v>98</v>
      </c>
      <c r="T373" s="470" t="s">
        <v>144</v>
      </c>
      <c r="U373" s="470"/>
      <c r="V373" s="470"/>
      <c r="W373" s="488" t="s">
        <v>1467</v>
      </c>
      <c r="X373" s="114"/>
      <c r="Y373" s="114"/>
      <c r="Z373" s="114"/>
      <c r="AA373" s="114"/>
      <c r="AB373" s="114"/>
      <c r="AC373" s="114"/>
      <c r="AD373" s="303"/>
      <c r="AE373" s="114"/>
      <c r="AF373" s="1357"/>
    </row>
    <row r="374" spans="1:32" ht="29.1" customHeight="1">
      <c r="A374" s="852"/>
      <c r="B374" s="260" t="s">
        <v>28</v>
      </c>
      <c r="C374" s="462" t="s">
        <v>3076</v>
      </c>
      <c r="D374" s="115" t="s">
        <v>29</v>
      </c>
      <c r="E374" s="115"/>
      <c r="F374" s="115"/>
      <c r="G374" s="115"/>
      <c r="H374" s="9" t="s">
        <v>70</v>
      </c>
      <c r="I374" s="5" t="s">
        <v>34</v>
      </c>
      <c r="J374" s="16" t="s">
        <v>3077</v>
      </c>
      <c r="K374" s="16"/>
      <c r="L374" s="16"/>
      <c r="M374" s="46">
        <v>43040</v>
      </c>
      <c r="N374" s="46"/>
      <c r="O374" s="46">
        <v>43497</v>
      </c>
      <c r="P374" s="1352">
        <v>60</v>
      </c>
      <c r="Q374" s="312" t="s">
        <v>358</v>
      </c>
      <c r="R374" s="202">
        <v>222250</v>
      </c>
      <c r="S374" s="73" t="s">
        <v>98</v>
      </c>
      <c r="T374" s="46" t="s">
        <v>54</v>
      </c>
      <c r="U374" s="4"/>
      <c r="V374" s="4"/>
      <c r="W374" s="9" t="s">
        <v>3078</v>
      </c>
      <c r="X374" s="819" t="s">
        <v>2689</v>
      </c>
      <c r="Y374" s="5" t="s">
        <v>457</v>
      </c>
      <c r="Z374" s="5"/>
      <c r="AA374" s="9"/>
      <c r="AB374" s="177">
        <v>43606</v>
      </c>
      <c r="AC374" s="6" t="s">
        <v>3079</v>
      </c>
      <c r="AD374" s="141"/>
      <c r="AE374" s="40"/>
      <c r="AF374" s="1357"/>
    </row>
    <row r="375" spans="1:32" ht="59.25" customHeight="1">
      <c r="A375" s="888"/>
      <c r="B375" s="260" t="s">
        <v>28</v>
      </c>
      <c r="C375" s="10"/>
      <c r="D375" s="112" t="s">
        <v>29</v>
      </c>
      <c r="E375" s="112"/>
      <c r="F375" s="112"/>
      <c r="G375" s="112"/>
      <c r="H375" s="5" t="s">
        <v>260</v>
      </c>
      <c r="I375" s="5" t="s">
        <v>64</v>
      </c>
      <c r="J375" s="16" t="s">
        <v>2751</v>
      </c>
      <c r="K375" s="16"/>
      <c r="L375" s="16"/>
      <c r="M375" s="14">
        <v>43282</v>
      </c>
      <c r="N375" s="14"/>
      <c r="O375" s="14">
        <v>43497</v>
      </c>
      <c r="P375" s="265">
        <v>26</v>
      </c>
      <c r="Q375" s="286" t="s">
        <v>3080</v>
      </c>
      <c r="R375" s="295">
        <v>872237</v>
      </c>
      <c r="S375" s="30" t="s">
        <v>66</v>
      </c>
      <c r="T375" s="12" t="s">
        <v>54</v>
      </c>
      <c r="U375" s="10"/>
      <c r="V375" s="10"/>
      <c r="W375" s="5" t="s">
        <v>233</v>
      </c>
      <c r="X375" s="5" t="s">
        <v>1053</v>
      </c>
      <c r="Y375" s="5" t="s">
        <v>457</v>
      </c>
      <c r="Z375" s="5"/>
      <c r="AA375" s="5"/>
      <c r="AB375" s="193">
        <v>43501</v>
      </c>
      <c r="AC375" s="8" t="s">
        <v>3081</v>
      </c>
      <c r="AD375" s="141"/>
      <c r="AE375" s="18">
        <v>387661</v>
      </c>
      <c r="AF375" s="1357"/>
    </row>
    <row r="376" spans="1:32" s="321" customFormat="1" ht="43.35" customHeight="1">
      <c r="A376" s="888"/>
      <c r="B376" s="1" t="s">
        <v>28</v>
      </c>
      <c r="C376" s="10"/>
      <c r="D376" s="8" t="s">
        <v>29</v>
      </c>
      <c r="E376" s="8"/>
      <c r="F376" s="8"/>
      <c r="G376" s="8"/>
      <c r="H376" s="5" t="s">
        <v>260</v>
      </c>
      <c r="I376" s="5" t="s">
        <v>64</v>
      </c>
      <c r="J376" s="16" t="s">
        <v>2751</v>
      </c>
      <c r="K376" s="16"/>
      <c r="L376" s="16"/>
      <c r="M376" s="14">
        <v>43282</v>
      </c>
      <c r="N376" s="14"/>
      <c r="O376" s="14">
        <v>43497</v>
      </c>
      <c r="P376" s="12">
        <v>26</v>
      </c>
      <c r="Q376" s="5" t="s">
        <v>3080</v>
      </c>
      <c r="R376" s="18">
        <v>872237</v>
      </c>
      <c r="S376" s="5" t="s">
        <v>66</v>
      </c>
      <c r="T376" s="12" t="s">
        <v>54</v>
      </c>
      <c r="U376" s="10"/>
      <c r="V376" s="10"/>
      <c r="W376" s="5" t="s">
        <v>233</v>
      </c>
      <c r="X376" s="5" t="s">
        <v>1053</v>
      </c>
      <c r="Y376" s="5" t="s">
        <v>457</v>
      </c>
      <c r="Z376" s="5"/>
      <c r="AA376" s="5"/>
      <c r="AB376" s="193">
        <v>43501</v>
      </c>
      <c r="AC376" s="8" t="s">
        <v>3081</v>
      </c>
      <c r="AD376" s="1"/>
      <c r="AE376" s="191">
        <v>387661</v>
      </c>
      <c r="AF376" s="1357"/>
    </row>
    <row r="377" spans="1:32" s="321" customFormat="1" ht="52.8">
      <c r="A377" s="852"/>
      <c r="B377" s="712" t="s">
        <v>48</v>
      </c>
      <c r="C377" s="465" t="s">
        <v>1943</v>
      </c>
      <c r="D377" s="466" t="s">
        <v>60</v>
      </c>
      <c r="E377" s="466"/>
      <c r="F377" s="466"/>
      <c r="G377" s="466"/>
      <c r="H377" s="466" t="s">
        <v>127</v>
      </c>
      <c r="I377" s="474" t="s">
        <v>34</v>
      </c>
      <c r="J377" s="1024" t="s">
        <v>1944</v>
      </c>
      <c r="K377" s="467"/>
      <c r="L377" s="485">
        <v>43745</v>
      </c>
      <c r="M377" s="485"/>
      <c r="N377" s="485"/>
      <c r="O377" s="485">
        <v>43499</v>
      </c>
      <c r="P377" s="471">
        <v>1</v>
      </c>
      <c r="Q377" s="471">
        <v>1</v>
      </c>
      <c r="R377" s="542">
        <v>436653</v>
      </c>
      <c r="S377" s="478" t="s">
        <v>1663</v>
      </c>
      <c r="T377" s="470" t="s">
        <v>36</v>
      </c>
      <c r="U377" s="470"/>
      <c r="V377" s="470"/>
      <c r="W377" s="488" t="s">
        <v>1133</v>
      </c>
      <c r="X377" s="114"/>
      <c r="Y377" s="114"/>
      <c r="Z377" s="114"/>
      <c r="AA377" s="114"/>
      <c r="AB377" s="114"/>
      <c r="AC377" s="114"/>
      <c r="AD377"/>
      <c r="AE377"/>
      <c r="AF377" s="1357"/>
    </row>
    <row r="378" spans="1:32" s="321" customFormat="1" ht="48.75" customHeight="1">
      <c r="A378" s="1061">
        <v>44974</v>
      </c>
      <c r="B378" s="1068" t="s">
        <v>210</v>
      </c>
      <c r="C378" s="1072" t="s">
        <v>3082</v>
      </c>
      <c r="D378" s="1072" t="s">
        <v>1034</v>
      </c>
      <c r="E378" s="1066" t="s">
        <v>210</v>
      </c>
      <c r="F378" s="1066" t="s">
        <v>190</v>
      </c>
      <c r="G378" s="1066" t="s">
        <v>190</v>
      </c>
      <c r="H378" s="1066" t="s">
        <v>190</v>
      </c>
      <c r="I378" s="1066" t="s">
        <v>190</v>
      </c>
      <c r="J378" s="1095" t="s">
        <v>1185</v>
      </c>
      <c r="K378" s="1072" t="s">
        <v>3083</v>
      </c>
      <c r="L378" s="1066" t="s">
        <v>190</v>
      </c>
      <c r="M378" s="1066" t="s">
        <v>190</v>
      </c>
      <c r="N378" s="1066" t="s">
        <v>190</v>
      </c>
      <c r="O378" s="1142">
        <v>43502</v>
      </c>
      <c r="P378" s="1142">
        <v>44597</v>
      </c>
      <c r="Q378" s="1072" t="s">
        <v>3084</v>
      </c>
      <c r="R378" s="1176">
        <v>18000</v>
      </c>
      <c r="S378" s="1072" t="s">
        <v>1359</v>
      </c>
      <c r="T378" s="1066" t="s">
        <v>190</v>
      </c>
      <c r="U378" s="1066" t="s">
        <v>190</v>
      </c>
      <c r="V378" s="1066"/>
      <c r="W378" s="1072" t="s">
        <v>1036</v>
      </c>
      <c r="X378" s="1072" t="s">
        <v>1346</v>
      </c>
      <c r="Y378" s="1072" t="s">
        <v>1266</v>
      </c>
      <c r="Z378" s="1066" t="s">
        <v>190</v>
      </c>
      <c r="AA378" s="1066" t="s">
        <v>190</v>
      </c>
      <c r="AB378" s="1066" t="s">
        <v>190</v>
      </c>
      <c r="AC378" s="1095" t="s">
        <v>3085</v>
      </c>
      <c r="AD378" s="1068" t="s">
        <v>190</v>
      </c>
      <c r="AE378" s="1193">
        <v>18000</v>
      </c>
      <c r="AF378"/>
    </row>
    <row r="379" spans="1:32" s="321" customFormat="1" ht="52.8">
      <c r="A379" s="852"/>
      <c r="B379" s="712" t="s">
        <v>48</v>
      </c>
      <c r="C379" s="465" t="s">
        <v>1770</v>
      </c>
      <c r="D379" s="466" t="s">
        <v>60</v>
      </c>
      <c r="E379" s="466"/>
      <c r="F379" s="466"/>
      <c r="G379" s="466"/>
      <c r="H379" s="466" t="s">
        <v>127</v>
      </c>
      <c r="I379" s="465" t="s">
        <v>34</v>
      </c>
      <c r="J379" s="1025" t="s">
        <v>1771</v>
      </c>
      <c r="K379" s="488"/>
      <c r="L379" s="489">
        <v>43486</v>
      </c>
      <c r="M379" s="489"/>
      <c r="N379" s="489"/>
      <c r="O379" s="558">
        <v>43514</v>
      </c>
      <c r="P379" s="490">
        <v>0.5</v>
      </c>
      <c r="Q379" s="490">
        <v>0.5</v>
      </c>
      <c r="R379" s="542">
        <v>8000</v>
      </c>
      <c r="S379" s="488" t="s">
        <v>163</v>
      </c>
      <c r="T379" s="558" t="s">
        <v>54</v>
      </c>
      <c r="U379" s="558"/>
      <c r="V379" s="558"/>
      <c r="W379" s="465" t="s">
        <v>1772</v>
      </c>
      <c r="X379" s="114"/>
      <c r="Y379" s="114"/>
      <c r="Z379" s="114"/>
      <c r="AA379" s="114"/>
      <c r="AB379" s="114"/>
      <c r="AC379" s="114"/>
      <c r="AD379"/>
      <c r="AE379"/>
      <c r="AF379" s="1360"/>
    </row>
    <row r="380" spans="1:32" s="358" customFormat="1" ht="52.8">
      <c r="A380" s="852"/>
      <c r="B380" s="712" t="s">
        <v>48</v>
      </c>
      <c r="C380" s="465" t="s">
        <v>1774</v>
      </c>
      <c r="D380" s="466" t="s">
        <v>60</v>
      </c>
      <c r="E380" s="466"/>
      <c r="F380" s="466"/>
      <c r="G380" s="466"/>
      <c r="H380" s="466" t="s">
        <v>127</v>
      </c>
      <c r="I380" s="465" t="s">
        <v>34</v>
      </c>
      <c r="J380" s="1025" t="s">
        <v>1775</v>
      </c>
      <c r="K380" s="488"/>
      <c r="L380" s="489">
        <v>43490</v>
      </c>
      <c r="M380" s="489"/>
      <c r="N380" s="489"/>
      <c r="O380" s="558">
        <v>43521</v>
      </c>
      <c r="P380" s="490">
        <v>1</v>
      </c>
      <c r="Q380" s="490">
        <v>1</v>
      </c>
      <c r="R380" s="542">
        <v>20000</v>
      </c>
      <c r="S380" s="488" t="s">
        <v>1663</v>
      </c>
      <c r="T380" s="558" t="s">
        <v>54</v>
      </c>
      <c r="U380" s="558"/>
      <c r="V380" s="558"/>
      <c r="W380" s="465" t="s">
        <v>1339</v>
      </c>
      <c r="X380" s="114"/>
      <c r="Y380" s="114"/>
      <c r="Z380" s="114"/>
      <c r="AA380" s="114"/>
      <c r="AB380" s="114"/>
      <c r="AC380" s="114"/>
      <c r="AD380"/>
      <c r="AE380"/>
      <c r="AF380" s="1357"/>
    </row>
    <row r="381" spans="1:32" s="358" customFormat="1" ht="39.6">
      <c r="A381" s="852"/>
      <c r="B381" s="712" t="s">
        <v>48</v>
      </c>
      <c r="C381" s="465" t="s">
        <v>1797</v>
      </c>
      <c r="D381" s="466" t="s">
        <v>29</v>
      </c>
      <c r="E381" s="466"/>
      <c r="F381" s="466"/>
      <c r="G381" s="466"/>
      <c r="H381" s="466" t="s">
        <v>49</v>
      </c>
      <c r="I381" s="465" t="s">
        <v>34</v>
      </c>
      <c r="J381" s="1025" t="s">
        <v>1798</v>
      </c>
      <c r="K381" s="488"/>
      <c r="L381" s="560">
        <v>43430</v>
      </c>
      <c r="M381" s="560"/>
      <c r="N381" s="560"/>
      <c r="O381" s="560">
        <v>43521</v>
      </c>
      <c r="P381" s="490">
        <v>1</v>
      </c>
      <c r="Q381" s="490">
        <v>1</v>
      </c>
      <c r="R381" s="542">
        <v>84000</v>
      </c>
      <c r="S381" s="488" t="s">
        <v>109</v>
      </c>
      <c r="T381" s="558" t="s">
        <v>54</v>
      </c>
      <c r="U381" s="558"/>
      <c r="V381" s="558"/>
      <c r="W381" s="465" t="s">
        <v>1785</v>
      </c>
      <c r="X381" s="114"/>
      <c r="Y381" s="114"/>
      <c r="Z381" s="114"/>
      <c r="AA381" s="114"/>
      <c r="AB381" s="114"/>
      <c r="AC381" s="114"/>
      <c r="AD381"/>
      <c r="AE381"/>
      <c r="AF381" s="1357"/>
    </row>
    <row r="382" spans="1:32" s="358" customFormat="1" ht="39.6">
      <c r="A382" s="852"/>
      <c r="B382" s="712" t="s">
        <v>48</v>
      </c>
      <c r="C382" s="465" t="s">
        <v>1820</v>
      </c>
      <c r="D382" s="466" t="s">
        <v>29</v>
      </c>
      <c r="E382" s="466"/>
      <c r="F382" s="466"/>
      <c r="G382" s="466"/>
      <c r="H382" s="466" t="s">
        <v>49</v>
      </c>
      <c r="I382" s="474" t="s">
        <v>34</v>
      </c>
      <c r="J382" s="1024" t="s">
        <v>1821</v>
      </c>
      <c r="K382" s="467"/>
      <c r="L382" s="485">
        <v>43353</v>
      </c>
      <c r="M382" s="485"/>
      <c r="N382" s="485"/>
      <c r="O382" s="485">
        <v>43521</v>
      </c>
      <c r="P382" s="471">
        <v>2</v>
      </c>
      <c r="Q382" s="471">
        <v>2</v>
      </c>
      <c r="R382" s="542">
        <v>500000</v>
      </c>
      <c r="S382" s="478" t="s">
        <v>1663</v>
      </c>
      <c r="T382" s="470" t="s">
        <v>54</v>
      </c>
      <c r="U382" s="470"/>
      <c r="V382" s="470"/>
      <c r="W382" s="474" t="s">
        <v>1793</v>
      </c>
      <c r="X382" s="114"/>
      <c r="Y382" s="114"/>
      <c r="Z382" s="114"/>
      <c r="AA382" s="114"/>
      <c r="AB382" s="114"/>
      <c r="AC382" s="114"/>
      <c r="AD382"/>
      <c r="AE382"/>
      <c r="AF382" s="1"/>
    </row>
    <row r="383" spans="1:32" s="321" customFormat="1" ht="158.4">
      <c r="A383" s="888"/>
      <c r="B383" s="1" t="s">
        <v>28</v>
      </c>
      <c r="C383" s="4"/>
      <c r="D383" s="8" t="s">
        <v>29</v>
      </c>
      <c r="E383" s="8"/>
      <c r="F383" s="8"/>
      <c r="G383" s="8"/>
      <c r="H383" s="5" t="s">
        <v>70</v>
      </c>
      <c r="I383" s="12" t="s">
        <v>34</v>
      </c>
      <c r="J383" s="16" t="s">
        <v>2761</v>
      </c>
      <c r="K383" s="16"/>
      <c r="L383" s="16"/>
      <c r="M383" s="176">
        <v>43405</v>
      </c>
      <c r="N383" s="176"/>
      <c r="O383" s="176">
        <v>43522</v>
      </c>
      <c r="P383" s="12">
        <v>60</v>
      </c>
      <c r="Q383" s="7" t="s">
        <v>3086</v>
      </c>
      <c r="R383" s="18">
        <v>23200</v>
      </c>
      <c r="S383" s="5" t="s">
        <v>66</v>
      </c>
      <c r="T383" s="12" t="s">
        <v>54</v>
      </c>
      <c r="U383" s="4"/>
      <c r="V383" s="4"/>
      <c r="W383" s="12" t="s">
        <v>2616</v>
      </c>
      <c r="X383" s="1335" t="s">
        <v>90</v>
      </c>
      <c r="Y383" s="5" t="s">
        <v>457</v>
      </c>
      <c r="Z383" s="5"/>
      <c r="AA383" s="5"/>
      <c r="AB383" s="193">
        <v>43482</v>
      </c>
      <c r="AC383" s="78" t="s">
        <v>3087</v>
      </c>
      <c r="AD383" s="1"/>
      <c r="AE383" s="306">
        <v>4640</v>
      </c>
      <c r="AF383" s="1357"/>
    </row>
    <row r="384" spans="1:32" s="321" customFormat="1" ht="43.2">
      <c r="A384" s="888"/>
      <c r="B384" s="1" t="s">
        <v>28</v>
      </c>
      <c r="C384" s="4"/>
      <c r="D384" s="8" t="s">
        <v>29</v>
      </c>
      <c r="E384" s="8"/>
      <c r="F384" s="8"/>
      <c r="G384" s="8"/>
      <c r="H384" s="5" t="s">
        <v>70</v>
      </c>
      <c r="I384" s="5" t="s">
        <v>64</v>
      </c>
      <c r="J384" s="16" t="s">
        <v>3088</v>
      </c>
      <c r="K384" s="16"/>
      <c r="L384" s="16"/>
      <c r="M384" s="176">
        <v>43101</v>
      </c>
      <c r="N384" s="176"/>
      <c r="O384" s="176">
        <v>43523</v>
      </c>
      <c r="P384" s="12">
        <v>84</v>
      </c>
      <c r="Q384" s="7" t="s">
        <v>2797</v>
      </c>
      <c r="R384" s="18">
        <v>424000</v>
      </c>
      <c r="S384" s="5" t="s">
        <v>98</v>
      </c>
      <c r="T384" s="12" t="s">
        <v>54</v>
      </c>
      <c r="U384" s="4"/>
      <c r="V384" s="4"/>
      <c r="W384" s="5" t="s">
        <v>286</v>
      </c>
      <c r="X384" s="5" t="s">
        <v>3089</v>
      </c>
      <c r="Y384" s="5" t="s">
        <v>457</v>
      </c>
      <c r="Z384" s="5"/>
      <c r="AA384" s="5"/>
      <c r="AB384" s="193"/>
      <c r="AC384" s="8" t="s">
        <v>3090</v>
      </c>
      <c r="AD384" s="1"/>
      <c r="AE384" s="442"/>
      <c r="AF384" s="1"/>
    </row>
    <row r="385" spans="1:32" s="321" customFormat="1" ht="15.6">
      <c r="A385" s="1061">
        <v>44974</v>
      </c>
      <c r="B385" s="1068" t="s">
        <v>210</v>
      </c>
      <c r="C385" s="1072">
        <v>28262</v>
      </c>
      <c r="D385" s="1072" t="s">
        <v>1150</v>
      </c>
      <c r="E385" s="1066" t="s">
        <v>210</v>
      </c>
      <c r="F385" s="1066" t="s">
        <v>190</v>
      </c>
      <c r="G385" s="1066" t="s">
        <v>190</v>
      </c>
      <c r="H385" s="1066" t="s">
        <v>190</v>
      </c>
      <c r="I385" s="1066" t="s">
        <v>190</v>
      </c>
      <c r="J385" s="1095" t="s">
        <v>1151</v>
      </c>
      <c r="K385" s="1072" t="s">
        <v>1152</v>
      </c>
      <c r="L385" s="1066" t="s">
        <v>190</v>
      </c>
      <c r="M385" s="1066" t="s">
        <v>190</v>
      </c>
      <c r="N385" s="1066" t="s">
        <v>190</v>
      </c>
      <c r="O385" s="1142">
        <v>43524</v>
      </c>
      <c r="P385" s="1142">
        <v>44984</v>
      </c>
      <c r="Q385" s="1072" t="s">
        <v>2541</v>
      </c>
      <c r="R385" s="1176">
        <v>85000</v>
      </c>
      <c r="S385" s="1072" t="s">
        <v>237</v>
      </c>
      <c r="T385" s="1066" t="s">
        <v>190</v>
      </c>
      <c r="U385" s="1066" t="s">
        <v>190</v>
      </c>
      <c r="V385" s="1066"/>
      <c r="W385" s="1072" t="s">
        <v>2542</v>
      </c>
      <c r="X385" s="1072" t="s">
        <v>1346</v>
      </c>
      <c r="Y385" s="1072" t="s">
        <v>1266</v>
      </c>
      <c r="Z385" s="1066" t="s">
        <v>190</v>
      </c>
      <c r="AA385" s="1066" t="s">
        <v>190</v>
      </c>
      <c r="AB385" s="1066" t="s">
        <v>190</v>
      </c>
      <c r="AC385" s="1095" t="s">
        <v>3091</v>
      </c>
      <c r="AD385" s="1068" t="s">
        <v>190</v>
      </c>
      <c r="AE385" s="1193">
        <v>85000</v>
      </c>
      <c r="AF385"/>
    </row>
    <row r="386" spans="1:32" s="321" customFormat="1" ht="39.6">
      <c r="A386" s="852"/>
      <c r="B386" s="712" t="s">
        <v>48</v>
      </c>
      <c r="C386" s="484"/>
      <c r="D386" s="466" t="s">
        <v>60</v>
      </c>
      <c r="E386" s="466"/>
      <c r="F386" s="466"/>
      <c r="G386" s="466"/>
      <c r="H386" s="466" t="s">
        <v>49</v>
      </c>
      <c r="I386" s="474" t="s">
        <v>34</v>
      </c>
      <c r="J386" s="549" t="s">
        <v>1740</v>
      </c>
      <c r="K386" s="484"/>
      <c r="L386" s="545">
        <v>43467</v>
      </c>
      <c r="M386" s="545"/>
      <c r="N386" s="545"/>
      <c r="O386" s="540">
        <v>43525</v>
      </c>
      <c r="P386" s="471">
        <v>1</v>
      </c>
      <c r="Q386" s="471">
        <v>1</v>
      </c>
      <c r="R386" s="548">
        <f>8*1400</f>
        <v>11200</v>
      </c>
      <c r="S386" s="478" t="s">
        <v>163</v>
      </c>
      <c r="T386" s="470" t="s">
        <v>54</v>
      </c>
      <c r="U386" s="470"/>
      <c r="V386" s="470"/>
      <c r="W386" s="474" t="s">
        <v>855</v>
      </c>
      <c r="X386" s="114"/>
      <c r="Y386" s="114"/>
      <c r="Z386" s="114"/>
      <c r="AA386" s="114"/>
      <c r="AB386" s="114"/>
      <c r="AC386" s="114"/>
      <c r="AD386"/>
      <c r="AE386"/>
      <c r="AF386" s="1357"/>
    </row>
    <row r="387" spans="1:32" s="321" customFormat="1" ht="29.1" customHeight="1">
      <c r="A387" s="852"/>
      <c r="B387" s="712" t="s">
        <v>48</v>
      </c>
      <c r="C387" s="544"/>
      <c r="D387" s="466" t="s">
        <v>60</v>
      </c>
      <c r="E387" s="466"/>
      <c r="F387" s="466"/>
      <c r="G387" s="466"/>
      <c r="H387" s="466" t="s">
        <v>49</v>
      </c>
      <c r="I387" s="474" t="s">
        <v>34</v>
      </c>
      <c r="J387" s="549" t="s">
        <v>1752</v>
      </c>
      <c r="K387" s="484"/>
      <c r="L387" s="545">
        <v>43435</v>
      </c>
      <c r="M387" s="545"/>
      <c r="N387" s="545"/>
      <c r="O387" s="545">
        <v>43525</v>
      </c>
      <c r="P387" s="471" t="s">
        <v>125</v>
      </c>
      <c r="Q387" s="471" t="s">
        <v>125</v>
      </c>
      <c r="R387" s="542">
        <v>250000</v>
      </c>
      <c r="S387" s="478" t="s">
        <v>1663</v>
      </c>
      <c r="T387" s="470" t="s">
        <v>54</v>
      </c>
      <c r="U387" s="470"/>
      <c r="V387" s="470"/>
      <c r="W387" s="466" t="s">
        <v>125</v>
      </c>
      <c r="X387" s="114"/>
      <c r="Y387" s="114"/>
      <c r="Z387" s="114"/>
      <c r="AA387" s="114"/>
      <c r="AB387" s="114"/>
      <c r="AC387" s="114"/>
      <c r="AD387"/>
      <c r="AE387"/>
      <c r="AF387"/>
    </row>
    <row r="388" spans="1:32" s="381" customFormat="1" ht="43.35" customHeight="1">
      <c r="A388" s="852"/>
      <c r="B388" s="712" t="s">
        <v>48</v>
      </c>
      <c r="C388" s="465" t="s">
        <v>1764</v>
      </c>
      <c r="D388" s="466" t="s">
        <v>60</v>
      </c>
      <c r="E388" s="466"/>
      <c r="F388" s="466"/>
      <c r="G388" s="466"/>
      <c r="H388" s="466" t="s">
        <v>49</v>
      </c>
      <c r="I388" s="474" t="s">
        <v>34</v>
      </c>
      <c r="J388" s="1024" t="s">
        <v>1765</v>
      </c>
      <c r="K388" s="467"/>
      <c r="L388" s="540">
        <v>43476</v>
      </c>
      <c r="M388" s="540"/>
      <c r="N388" s="540"/>
      <c r="O388" s="540">
        <v>43525</v>
      </c>
      <c r="P388" s="471">
        <v>6</v>
      </c>
      <c r="Q388" s="471">
        <v>6</v>
      </c>
      <c r="R388" s="542">
        <v>600000</v>
      </c>
      <c r="S388" s="478" t="s">
        <v>1663</v>
      </c>
      <c r="T388" s="470" t="s">
        <v>54</v>
      </c>
      <c r="U388" s="470"/>
      <c r="V388" s="470"/>
      <c r="W388" s="474" t="s">
        <v>1766</v>
      </c>
      <c r="X388" s="114"/>
      <c r="Y388" s="114"/>
      <c r="Z388" s="114"/>
      <c r="AA388" s="114"/>
      <c r="AB388" s="114"/>
      <c r="AC388" s="114"/>
      <c r="AD388"/>
      <c r="AE388"/>
      <c r="AF388"/>
    </row>
    <row r="389" spans="1:32" s="381" customFormat="1" ht="43.35" customHeight="1">
      <c r="A389" s="852"/>
      <c r="B389" s="712" t="s">
        <v>48</v>
      </c>
      <c r="C389" s="465" t="s">
        <v>1790</v>
      </c>
      <c r="D389" s="466" t="s">
        <v>29</v>
      </c>
      <c r="E389" s="466"/>
      <c r="F389" s="466"/>
      <c r="G389" s="466"/>
      <c r="H389" s="466" t="s">
        <v>49</v>
      </c>
      <c r="I389" s="474" t="s">
        <v>34</v>
      </c>
      <c r="J389" s="1024" t="s">
        <v>1791</v>
      </c>
      <c r="K389" s="467"/>
      <c r="L389" s="485">
        <v>43467</v>
      </c>
      <c r="M389" s="485"/>
      <c r="N389" s="485"/>
      <c r="O389" s="485">
        <v>43525</v>
      </c>
      <c r="P389" s="471">
        <v>6</v>
      </c>
      <c r="Q389" s="471">
        <v>6</v>
      </c>
      <c r="R389" s="542">
        <v>600000</v>
      </c>
      <c r="S389" s="478" t="s">
        <v>1663</v>
      </c>
      <c r="T389" s="470" t="s">
        <v>54</v>
      </c>
      <c r="U389" s="470"/>
      <c r="V389" s="470"/>
      <c r="W389" s="474" t="s">
        <v>1734</v>
      </c>
      <c r="X389" s="114"/>
      <c r="Y389" s="114"/>
      <c r="Z389" s="114"/>
      <c r="AA389" s="114"/>
      <c r="AB389" s="114"/>
      <c r="AC389" s="114"/>
      <c r="AD389"/>
      <c r="AE389"/>
      <c r="AF389"/>
    </row>
    <row r="390" spans="1:32" s="385" customFormat="1" ht="29.1" customHeight="1">
      <c r="A390" s="852"/>
      <c r="B390" s="712" t="s">
        <v>48</v>
      </c>
      <c r="C390" s="465" t="s">
        <v>43</v>
      </c>
      <c r="D390" s="466" t="s">
        <v>29</v>
      </c>
      <c r="E390" s="466"/>
      <c r="F390" s="466"/>
      <c r="G390" s="466"/>
      <c r="H390" s="466" t="s">
        <v>49</v>
      </c>
      <c r="I390" s="474" t="s">
        <v>34</v>
      </c>
      <c r="J390" s="1024" t="s">
        <v>1808</v>
      </c>
      <c r="K390" s="467"/>
      <c r="L390" s="485">
        <v>43252</v>
      </c>
      <c r="M390" s="485"/>
      <c r="N390" s="485"/>
      <c r="O390" s="485">
        <v>43525</v>
      </c>
      <c r="P390" s="471">
        <v>24</v>
      </c>
      <c r="Q390" s="471" t="s">
        <v>366</v>
      </c>
      <c r="R390" s="542">
        <v>42000000</v>
      </c>
      <c r="S390" s="478" t="s">
        <v>125</v>
      </c>
      <c r="T390" s="470" t="s">
        <v>41</v>
      </c>
      <c r="U390" s="470"/>
      <c r="V390" s="470"/>
      <c r="W390" s="474" t="s">
        <v>406</v>
      </c>
      <c r="X390" s="114"/>
      <c r="Y390" s="114"/>
      <c r="Z390" s="114"/>
      <c r="AA390" s="114"/>
      <c r="AB390" s="114"/>
      <c r="AC390" s="114"/>
      <c r="AD390"/>
      <c r="AE390"/>
      <c r="AF390"/>
    </row>
    <row r="391" spans="1:32" s="381" customFormat="1" ht="111" customHeight="1">
      <c r="A391" s="852"/>
      <c r="B391" s="712" t="s">
        <v>48</v>
      </c>
      <c r="C391" s="465" t="s">
        <v>1910</v>
      </c>
      <c r="D391" s="466" t="s">
        <v>60</v>
      </c>
      <c r="E391" s="466"/>
      <c r="F391" s="466"/>
      <c r="G391" s="466"/>
      <c r="H391" s="466" t="s">
        <v>127</v>
      </c>
      <c r="I391" s="474" t="s">
        <v>34</v>
      </c>
      <c r="J391" s="1024" t="s">
        <v>1911</v>
      </c>
      <c r="K391" s="467"/>
      <c r="L391" s="485">
        <v>43435</v>
      </c>
      <c r="M391" s="485"/>
      <c r="N391" s="485"/>
      <c r="O391" s="485">
        <v>43525</v>
      </c>
      <c r="P391" s="471">
        <v>1</v>
      </c>
      <c r="Q391" s="471">
        <v>1</v>
      </c>
      <c r="R391" s="542">
        <v>970000</v>
      </c>
      <c r="S391" s="478" t="s">
        <v>1663</v>
      </c>
      <c r="T391" s="470" t="s">
        <v>144</v>
      </c>
      <c r="U391" s="470"/>
      <c r="V391" s="470"/>
      <c r="W391" s="488" t="s">
        <v>1133</v>
      </c>
      <c r="X391" s="114"/>
      <c r="Y391" s="114"/>
      <c r="Z391" s="114"/>
      <c r="AA391" s="114"/>
      <c r="AB391" s="114"/>
      <c r="AC391" s="114"/>
      <c r="AD391"/>
      <c r="AE391"/>
      <c r="AF391"/>
    </row>
    <row r="392" spans="1:32" s="321" customFormat="1" ht="39.6">
      <c r="A392" s="852"/>
      <c r="B392" s="712" t="s">
        <v>48</v>
      </c>
      <c r="C392" s="465" t="s">
        <v>1977</v>
      </c>
      <c r="D392" s="466" t="s">
        <v>82</v>
      </c>
      <c r="E392" s="466"/>
      <c r="F392" s="466"/>
      <c r="G392" s="466"/>
      <c r="H392" s="466" t="s">
        <v>49</v>
      </c>
      <c r="I392" s="465" t="s">
        <v>34</v>
      </c>
      <c r="J392" s="1025" t="s">
        <v>1978</v>
      </c>
      <c r="K392" s="488"/>
      <c r="L392" s="560">
        <v>43440</v>
      </c>
      <c r="M392" s="560"/>
      <c r="N392" s="560"/>
      <c r="O392" s="560">
        <v>43525</v>
      </c>
      <c r="P392" s="490">
        <v>2</v>
      </c>
      <c r="Q392" s="490">
        <v>2</v>
      </c>
      <c r="R392" s="542">
        <v>178000</v>
      </c>
      <c r="S392" s="488" t="s">
        <v>109</v>
      </c>
      <c r="T392" s="470" t="s">
        <v>36</v>
      </c>
      <c r="U392" s="470"/>
      <c r="V392" s="470"/>
      <c r="W392" s="488" t="s">
        <v>1467</v>
      </c>
      <c r="X392" s="114"/>
      <c r="Y392" s="114"/>
      <c r="Z392" s="114"/>
      <c r="AA392" s="114"/>
      <c r="AB392" s="114"/>
      <c r="AC392" s="114"/>
      <c r="AD392"/>
      <c r="AE392"/>
      <c r="AF392"/>
    </row>
    <row r="393" spans="1:32" s="321" customFormat="1" ht="29.1" customHeight="1">
      <c r="A393" s="852"/>
      <c r="B393" s="712" t="s">
        <v>48</v>
      </c>
      <c r="C393" s="465" t="s">
        <v>125</v>
      </c>
      <c r="D393" s="466" t="s">
        <v>60</v>
      </c>
      <c r="E393" s="466"/>
      <c r="F393" s="466"/>
      <c r="G393" s="466"/>
      <c r="H393" s="466" t="s">
        <v>127</v>
      </c>
      <c r="I393" s="474" t="s">
        <v>34</v>
      </c>
      <c r="J393" s="1024" t="s">
        <v>2458</v>
      </c>
      <c r="K393" s="484"/>
      <c r="L393" s="466">
        <v>14</v>
      </c>
      <c r="M393" s="469">
        <f>IF(O393="tbc","",(IFERROR(EDATE($N393,-3),"Invalid procurement method or date entered")))</f>
        <v>43009</v>
      </c>
      <c r="N393" s="469">
        <f>IF(O393="tbc","",(IFERROR(EDATE(O393,-L393),"Invalid procurement method or date entered")))</f>
        <v>43101</v>
      </c>
      <c r="O393" s="470">
        <v>43525</v>
      </c>
      <c r="P393" s="471">
        <v>60</v>
      </c>
      <c r="Q393" s="471">
        <v>60</v>
      </c>
      <c r="R393" s="483">
        <v>25000</v>
      </c>
      <c r="S393" s="470" t="s">
        <v>909</v>
      </c>
      <c r="T393" s="470" t="s">
        <v>465</v>
      </c>
      <c r="U393" s="470" t="s">
        <v>125</v>
      </c>
      <c r="V393" s="470"/>
      <c r="W393" s="354" t="s">
        <v>41</v>
      </c>
      <c r="X393" s="114"/>
      <c r="Y393" s="114"/>
      <c r="Z393" s="114"/>
      <c r="AA393" s="114"/>
      <c r="AB393" s="114"/>
      <c r="AC393" s="114"/>
      <c r="AD393"/>
      <c r="AE393"/>
      <c r="AF393"/>
    </row>
    <row r="394" spans="1:32" s="321" customFormat="1" ht="86.4" customHeight="1">
      <c r="A394" s="1061">
        <v>44974</v>
      </c>
      <c r="B394" s="1068" t="s">
        <v>210</v>
      </c>
      <c r="C394" s="1072" t="s">
        <v>190</v>
      </c>
      <c r="D394" s="1072" t="s">
        <v>1034</v>
      </c>
      <c r="E394" s="1066" t="s">
        <v>210</v>
      </c>
      <c r="F394" s="1066" t="s">
        <v>190</v>
      </c>
      <c r="G394" s="1066" t="s">
        <v>190</v>
      </c>
      <c r="H394" s="1066" t="s">
        <v>190</v>
      </c>
      <c r="I394" s="1066" t="s">
        <v>190</v>
      </c>
      <c r="J394" s="1095" t="s">
        <v>3092</v>
      </c>
      <c r="K394" s="1072" t="s">
        <v>3093</v>
      </c>
      <c r="L394" s="1066" t="s">
        <v>190</v>
      </c>
      <c r="M394" s="1066" t="s">
        <v>190</v>
      </c>
      <c r="N394" s="1066" t="s">
        <v>190</v>
      </c>
      <c r="O394" s="1142">
        <v>43525</v>
      </c>
      <c r="P394" s="1142">
        <v>45016</v>
      </c>
      <c r="Q394" s="1072" t="s">
        <v>1350</v>
      </c>
      <c r="R394" s="1176">
        <v>41942</v>
      </c>
      <c r="S394" s="1072" t="s">
        <v>1142</v>
      </c>
      <c r="T394" s="1066" t="s">
        <v>190</v>
      </c>
      <c r="U394" s="1066" t="s">
        <v>190</v>
      </c>
      <c r="V394" s="1066"/>
      <c r="W394" s="1072" t="s">
        <v>1036</v>
      </c>
      <c r="X394" s="1072" t="s">
        <v>1346</v>
      </c>
      <c r="Y394" s="1072" t="s">
        <v>1266</v>
      </c>
      <c r="Z394" s="1066" t="s">
        <v>190</v>
      </c>
      <c r="AA394" s="1066" t="s">
        <v>190</v>
      </c>
      <c r="AB394" s="1066" t="s">
        <v>190</v>
      </c>
      <c r="AC394" s="1095" t="s">
        <v>3094</v>
      </c>
      <c r="AD394" s="1068" t="s">
        <v>190</v>
      </c>
      <c r="AE394" s="1193">
        <v>41942</v>
      </c>
      <c r="AF394"/>
    </row>
    <row r="395" spans="1:32" s="321" customFormat="1" ht="43.35" customHeight="1">
      <c r="A395" s="1364"/>
      <c r="B395" s="1" t="s">
        <v>28</v>
      </c>
      <c r="C395" s="4"/>
      <c r="D395" s="8" t="s">
        <v>29</v>
      </c>
      <c r="E395" s="8"/>
      <c r="F395" s="8"/>
      <c r="G395" s="8"/>
      <c r="H395" s="5" t="s">
        <v>70</v>
      </c>
      <c r="I395" s="5" t="s">
        <v>34</v>
      </c>
      <c r="J395" s="16" t="s">
        <v>3003</v>
      </c>
      <c r="K395" s="16"/>
      <c r="L395" s="16"/>
      <c r="M395" s="176">
        <v>43411</v>
      </c>
      <c r="N395" s="176"/>
      <c r="O395" s="176">
        <v>43528</v>
      </c>
      <c r="P395" s="12">
        <v>36</v>
      </c>
      <c r="Q395" s="13" t="s">
        <v>318</v>
      </c>
      <c r="R395" s="18">
        <v>42750</v>
      </c>
      <c r="S395" s="5" t="s">
        <v>109</v>
      </c>
      <c r="T395" s="12" t="s">
        <v>54</v>
      </c>
      <c r="U395" s="4"/>
      <c r="V395" s="4"/>
      <c r="W395" s="5" t="s">
        <v>286</v>
      </c>
      <c r="X395" s="5" t="s">
        <v>2919</v>
      </c>
      <c r="Y395" s="5" t="s">
        <v>457</v>
      </c>
      <c r="Z395" s="5"/>
      <c r="AA395" s="5"/>
      <c r="AB395" s="1386">
        <v>43522</v>
      </c>
      <c r="AC395" s="8" t="s">
        <v>3095</v>
      </c>
      <c r="AD395" s="1"/>
      <c r="AE395" s="442">
        <v>14250</v>
      </c>
      <c r="AF395"/>
    </row>
    <row r="396" spans="1:32" ht="29.1" customHeight="1">
      <c r="A396" s="852"/>
      <c r="B396" s="712" t="s">
        <v>48</v>
      </c>
      <c r="C396" s="508" t="s">
        <v>294</v>
      </c>
      <c r="D396" s="466" t="s">
        <v>60</v>
      </c>
      <c r="E396" s="466"/>
      <c r="F396" s="466"/>
      <c r="G396" s="466"/>
      <c r="H396" s="466" t="s">
        <v>127</v>
      </c>
      <c r="I396" s="474" t="s">
        <v>34</v>
      </c>
      <c r="J396" s="1024" t="s">
        <v>1737</v>
      </c>
      <c r="K396" s="467"/>
      <c r="L396" s="540">
        <v>43455</v>
      </c>
      <c r="M396" s="540"/>
      <c r="N396" s="540"/>
      <c r="O396" s="540">
        <v>43528</v>
      </c>
      <c r="P396" s="471" t="s">
        <v>35</v>
      </c>
      <c r="Q396" s="471" t="s">
        <v>125</v>
      </c>
      <c r="R396" s="542">
        <v>238000</v>
      </c>
      <c r="S396" s="478" t="s">
        <v>158</v>
      </c>
      <c r="T396" s="474" t="s">
        <v>125</v>
      </c>
      <c r="U396" s="474"/>
      <c r="V396" s="474"/>
      <c r="W396" s="114"/>
      <c r="X396" s="114"/>
      <c r="Y396" s="114"/>
      <c r="Z396" s="114"/>
      <c r="AA396" s="114"/>
      <c r="AB396" s="114"/>
      <c r="AC396" s="114"/>
    </row>
    <row r="397" spans="1:32" s="321" customFormat="1" ht="57.6" customHeight="1">
      <c r="A397" s="852"/>
      <c r="B397" s="712" t="s">
        <v>48</v>
      </c>
      <c r="C397" s="508" t="s">
        <v>294</v>
      </c>
      <c r="D397" s="466" t="s">
        <v>60</v>
      </c>
      <c r="E397" s="466"/>
      <c r="F397" s="466"/>
      <c r="G397" s="466"/>
      <c r="H397" s="466" t="s">
        <v>127</v>
      </c>
      <c r="I397" s="474" t="s">
        <v>34</v>
      </c>
      <c r="J397" s="1024" t="s">
        <v>1738</v>
      </c>
      <c r="K397" s="467"/>
      <c r="L397" s="540">
        <v>43455</v>
      </c>
      <c r="M397" s="540"/>
      <c r="N397" s="540"/>
      <c r="O397" s="540">
        <v>43528</v>
      </c>
      <c r="P397" s="471" t="s">
        <v>35</v>
      </c>
      <c r="Q397" s="471" t="s">
        <v>35</v>
      </c>
      <c r="R397" s="542">
        <v>408000</v>
      </c>
      <c r="S397" s="478" t="s">
        <v>158</v>
      </c>
      <c r="T397" s="474" t="s">
        <v>125</v>
      </c>
      <c r="U397" s="474"/>
      <c r="V397" s="474"/>
      <c r="W397" s="114"/>
      <c r="X397" s="114"/>
      <c r="Y397" s="114"/>
      <c r="Z397" s="114"/>
      <c r="AA397" s="114"/>
      <c r="AB397" s="114"/>
      <c r="AC397" s="114"/>
      <c r="AD397"/>
      <c r="AE397"/>
      <c r="AF397"/>
    </row>
    <row r="398" spans="1:32" ht="57.6" customHeight="1">
      <c r="A398" s="852"/>
      <c r="B398" s="712" t="s">
        <v>48</v>
      </c>
      <c r="C398" s="508" t="s">
        <v>294</v>
      </c>
      <c r="D398" s="466" t="s">
        <v>60</v>
      </c>
      <c r="E398" s="466"/>
      <c r="F398" s="466"/>
      <c r="G398" s="466"/>
      <c r="H398" s="466" t="s">
        <v>127</v>
      </c>
      <c r="I398" s="474" t="s">
        <v>34</v>
      </c>
      <c r="J398" s="1024" t="s">
        <v>1739</v>
      </c>
      <c r="K398" s="467"/>
      <c r="L398" s="540">
        <v>43455</v>
      </c>
      <c r="M398" s="540"/>
      <c r="N398" s="540"/>
      <c r="O398" s="540">
        <v>43528</v>
      </c>
      <c r="P398" s="471" t="s">
        <v>35</v>
      </c>
      <c r="Q398" s="471" t="s">
        <v>35</v>
      </c>
      <c r="R398" s="542">
        <v>310000</v>
      </c>
      <c r="S398" s="478" t="s">
        <v>158</v>
      </c>
      <c r="T398" s="474" t="s">
        <v>125</v>
      </c>
      <c r="U398" s="474"/>
      <c r="V398" s="474"/>
      <c r="W398" s="114"/>
      <c r="X398" s="114"/>
      <c r="Y398" s="114"/>
      <c r="Z398" s="114"/>
      <c r="AA398" s="114"/>
      <c r="AB398" s="114"/>
      <c r="AC398" s="114"/>
    </row>
    <row r="399" spans="1:32" s="321" customFormat="1" ht="57.6" customHeight="1">
      <c r="A399" s="852"/>
      <c r="B399" s="712" t="s">
        <v>48</v>
      </c>
      <c r="C399" s="465" t="s">
        <v>1776</v>
      </c>
      <c r="D399" s="466" t="s">
        <v>60</v>
      </c>
      <c r="E399" s="466"/>
      <c r="F399" s="466"/>
      <c r="G399" s="466"/>
      <c r="H399" s="466" t="s">
        <v>127</v>
      </c>
      <c r="I399" s="465" t="s">
        <v>34</v>
      </c>
      <c r="J399" s="1025" t="s">
        <v>1777</v>
      </c>
      <c r="K399" s="488"/>
      <c r="L399" s="489">
        <v>43490</v>
      </c>
      <c r="M399" s="489"/>
      <c r="N399" s="489"/>
      <c r="O399" s="558">
        <v>43528</v>
      </c>
      <c r="P399" s="490">
        <v>0.5</v>
      </c>
      <c r="Q399" s="490">
        <v>0.5</v>
      </c>
      <c r="R399" s="542">
        <v>15000</v>
      </c>
      <c r="S399" s="488" t="s">
        <v>1663</v>
      </c>
      <c r="T399" s="558" t="s">
        <v>54</v>
      </c>
      <c r="U399" s="558"/>
      <c r="V399" s="558"/>
      <c r="W399" s="465" t="s">
        <v>1543</v>
      </c>
      <c r="X399" s="114"/>
      <c r="Y399" s="114"/>
      <c r="Z399" s="114"/>
      <c r="AA399" s="114"/>
      <c r="AB399" s="114"/>
      <c r="AC399" s="114"/>
      <c r="AD399"/>
      <c r="AE399"/>
    </row>
    <row r="400" spans="1:32" s="321" customFormat="1" ht="72" customHeight="1">
      <c r="A400" s="852"/>
      <c r="B400" s="712" t="s">
        <v>48</v>
      </c>
      <c r="C400" s="465" t="s">
        <v>1780</v>
      </c>
      <c r="D400" s="466" t="s">
        <v>60</v>
      </c>
      <c r="E400" s="466"/>
      <c r="F400" s="466"/>
      <c r="G400" s="466"/>
      <c r="H400" s="466" t="s">
        <v>49</v>
      </c>
      <c r="I400" s="465" t="s">
        <v>34</v>
      </c>
      <c r="J400" s="1025" t="s">
        <v>1781</v>
      </c>
      <c r="K400" s="488"/>
      <c r="L400" s="489">
        <v>43500</v>
      </c>
      <c r="M400" s="489"/>
      <c r="N400" s="489"/>
      <c r="O400" s="558">
        <v>43528</v>
      </c>
      <c r="P400" s="490">
        <v>1</v>
      </c>
      <c r="Q400" s="490">
        <v>1</v>
      </c>
      <c r="R400" s="542">
        <v>700000</v>
      </c>
      <c r="S400" s="488" t="s">
        <v>1663</v>
      </c>
      <c r="T400" s="558" t="s">
        <v>1218</v>
      </c>
      <c r="U400" s="558"/>
      <c r="V400" s="558"/>
      <c r="W400" s="465" t="s">
        <v>1782</v>
      </c>
      <c r="X400" s="114"/>
      <c r="Y400" s="114"/>
      <c r="Z400" s="180"/>
      <c r="AA400" s="180"/>
      <c r="AB400" s="114"/>
      <c r="AC400" s="114"/>
      <c r="AD400"/>
      <c r="AE400"/>
    </row>
    <row r="401" spans="1:32" ht="29.1" customHeight="1">
      <c r="A401" s="888"/>
      <c r="B401" s="1" t="s">
        <v>28</v>
      </c>
      <c r="C401" s="4" t="s">
        <v>3096</v>
      </c>
      <c r="D401" s="5" t="s">
        <v>29</v>
      </c>
      <c r="E401" s="5"/>
      <c r="F401" s="5"/>
      <c r="G401" s="5"/>
      <c r="H401" s="5" t="s">
        <v>3097</v>
      </c>
      <c r="I401" s="12" t="s">
        <v>64</v>
      </c>
      <c r="J401" s="16" t="s">
        <v>3098</v>
      </c>
      <c r="K401" s="16"/>
      <c r="L401" s="16"/>
      <c r="M401" s="193">
        <v>43468</v>
      </c>
      <c r="N401" s="193"/>
      <c r="O401" s="193">
        <v>43532</v>
      </c>
      <c r="P401" s="12">
        <v>120</v>
      </c>
      <c r="Q401" s="7" t="s">
        <v>3099</v>
      </c>
      <c r="R401" s="18">
        <v>177098</v>
      </c>
      <c r="S401" s="5" t="s">
        <v>66</v>
      </c>
      <c r="T401" s="11" t="s">
        <v>54</v>
      </c>
      <c r="U401" s="4"/>
      <c r="V401" s="4"/>
      <c r="W401" s="5" t="s">
        <v>1121</v>
      </c>
      <c r="X401" s="5" t="s">
        <v>2919</v>
      </c>
      <c r="Y401" s="5" t="s">
        <v>457</v>
      </c>
      <c r="Z401" s="26"/>
      <c r="AA401" s="26"/>
      <c r="AB401" s="1386">
        <v>43704</v>
      </c>
      <c r="AC401" s="35" t="s">
        <v>3100</v>
      </c>
      <c r="AD401" s="1"/>
      <c r="AE401" s="204">
        <v>22137</v>
      </c>
      <c r="AF401" s="321"/>
    </row>
    <row r="402" spans="1:32" s="321" customFormat="1" ht="57.6" customHeight="1">
      <c r="A402" s="852"/>
      <c r="B402" s="712" t="s">
        <v>48</v>
      </c>
      <c r="C402" s="465" t="s">
        <v>1762</v>
      </c>
      <c r="D402" s="466" t="s">
        <v>60</v>
      </c>
      <c r="E402" s="466"/>
      <c r="F402" s="466"/>
      <c r="G402" s="466"/>
      <c r="H402" s="466" t="s">
        <v>127</v>
      </c>
      <c r="I402" s="474" t="s">
        <v>34</v>
      </c>
      <c r="J402" s="1024" t="s">
        <v>1763</v>
      </c>
      <c r="K402" s="467"/>
      <c r="L402" s="540">
        <v>43405</v>
      </c>
      <c r="M402" s="540"/>
      <c r="N402" s="540"/>
      <c r="O402" s="540">
        <v>43533</v>
      </c>
      <c r="P402" s="471">
        <v>48</v>
      </c>
      <c r="Q402" s="471">
        <v>48</v>
      </c>
      <c r="R402" s="542">
        <v>150000</v>
      </c>
      <c r="S402" s="478" t="s">
        <v>163</v>
      </c>
      <c r="T402" s="470" t="s">
        <v>54</v>
      </c>
      <c r="U402" s="470"/>
      <c r="V402" s="470"/>
      <c r="W402" s="474" t="s">
        <v>1687</v>
      </c>
      <c r="X402" s="114"/>
      <c r="Y402" s="114"/>
      <c r="Z402" s="180"/>
      <c r="AA402" s="180"/>
      <c r="AB402" s="114"/>
      <c r="AC402" s="114"/>
      <c r="AD402"/>
      <c r="AE402"/>
    </row>
    <row r="403" spans="1:32" s="400" customFormat="1" ht="52.8">
      <c r="A403" s="852"/>
      <c r="B403" s="712" t="s">
        <v>48</v>
      </c>
      <c r="C403" s="465" t="s">
        <v>1778</v>
      </c>
      <c r="D403" s="466" t="s">
        <v>60</v>
      </c>
      <c r="E403" s="466"/>
      <c r="F403" s="466"/>
      <c r="G403" s="466"/>
      <c r="H403" s="466" t="s">
        <v>127</v>
      </c>
      <c r="I403" s="465" t="s">
        <v>34</v>
      </c>
      <c r="J403" s="1025" t="s">
        <v>1779</v>
      </c>
      <c r="K403" s="488"/>
      <c r="L403" s="489">
        <v>43500</v>
      </c>
      <c r="M403" s="489"/>
      <c r="N403" s="489"/>
      <c r="O403" s="558">
        <v>43535</v>
      </c>
      <c r="P403" s="490">
        <v>1</v>
      </c>
      <c r="Q403" s="490">
        <v>1</v>
      </c>
      <c r="R403" s="542">
        <v>20000</v>
      </c>
      <c r="S403" s="488" t="s">
        <v>163</v>
      </c>
      <c r="T403" s="558" t="s">
        <v>54</v>
      </c>
      <c r="U403" s="558"/>
      <c r="V403" s="558"/>
      <c r="W403" s="465" t="s">
        <v>1543</v>
      </c>
      <c r="X403" s="114"/>
      <c r="Y403" s="114"/>
      <c r="Z403" s="114"/>
      <c r="AA403" s="114"/>
      <c r="AB403" s="114"/>
      <c r="AC403" s="114"/>
      <c r="AD403"/>
      <c r="AE403"/>
      <c r="AF403" s="358"/>
    </row>
    <row r="404" spans="1:32" s="406" customFormat="1" ht="52.8">
      <c r="A404" s="852"/>
      <c r="B404" s="712" t="s">
        <v>48</v>
      </c>
      <c r="C404" s="465" t="s">
        <v>1809</v>
      </c>
      <c r="D404" s="466" t="s">
        <v>60</v>
      </c>
      <c r="E404" s="466"/>
      <c r="F404" s="466"/>
      <c r="G404" s="466"/>
      <c r="H404" s="466" t="s">
        <v>127</v>
      </c>
      <c r="I404" s="465" t="s">
        <v>34</v>
      </c>
      <c r="J404" s="1025" t="s">
        <v>1810</v>
      </c>
      <c r="K404" s="488"/>
      <c r="L404" s="560">
        <v>43504</v>
      </c>
      <c r="M404" s="560"/>
      <c r="N404" s="560"/>
      <c r="O404" s="560">
        <v>43535</v>
      </c>
      <c r="P404" s="490">
        <v>1</v>
      </c>
      <c r="Q404" s="490">
        <v>1</v>
      </c>
      <c r="R404" s="542">
        <v>50000</v>
      </c>
      <c r="S404" s="488" t="s">
        <v>1663</v>
      </c>
      <c r="T404" s="558" t="s">
        <v>54</v>
      </c>
      <c r="U404" s="558"/>
      <c r="V404" s="558"/>
      <c r="W404" s="465" t="s">
        <v>1543</v>
      </c>
      <c r="X404" s="114"/>
      <c r="Y404" s="114"/>
      <c r="Z404" s="114"/>
      <c r="AA404" s="114"/>
      <c r="AB404" s="114"/>
      <c r="AC404" s="114"/>
      <c r="AD404"/>
      <c r="AE404"/>
      <c r="AF404" s="358"/>
    </row>
    <row r="405" spans="1:32" s="321" customFormat="1" ht="39.6">
      <c r="A405" s="852"/>
      <c r="B405" s="712" t="s">
        <v>48</v>
      </c>
      <c r="C405" s="465" t="s">
        <v>1916</v>
      </c>
      <c r="D405" s="466" t="s">
        <v>82</v>
      </c>
      <c r="E405" s="466"/>
      <c r="F405" s="466"/>
      <c r="G405" s="466"/>
      <c r="H405" s="466" t="s">
        <v>49</v>
      </c>
      <c r="I405" s="474" t="s">
        <v>34</v>
      </c>
      <c r="J405" s="1024" t="s">
        <v>1917</v>
      </c>
      <c r="K405" s="467"/>
      <c r="L405" s="485">
        <v>43448</v>
      </c>
      <c r="M405" s="485"/>
      <c r="N405" s="485"/>
      <c r="O405" s="485">
        <v>43542</v>
      </c>
      <c r="P405" s="471">
        <v>1</v>
      </c>
      <c r="Q405" s="471">
        <v>1</v>
      </c>
      <c r="R405" s="542">
        <v>87000</v>
      </c>
      <c r="S405" s="478" t="s">
        <v>1663</v>
      </c>
      <c r="T405" s="470" t="s">
        <v>36</v>
      </c>
      <c r="U405" s="470"/>
      <c r="V405" s="470"/>
      <c r="W405" s="488" t="s">
        <v>1467</v>
      </c>
      <c r="X405" s="114"/>
      <c r="Y405" s="114"/>
      <c r="Z405" s="180"/>
      <c r="AA405" s="180"/>
      <c r="AB405" s="114"/>
      <c r="AC405" s="114"/>
      <c r="AD405"/>
      <c r="AE405"/>
      <c r="AF405" s="358"/>
    </row>
    <row r="406" spans="1:32" s="321" customFormat="1" ht="86.4">
      <c r="A406" s="852"/>
      <c r="B406" s="1" t="s">
        <v>28</v>
      </c>
      <c r="C406" s="4"/>
      <c r="D406" s="8" t="s">
        <v>29</v>
      </c>
      <c r="E406" s="8"/>
      <c r="F406" s="8"/>
      <c r="G406" s="8"/>
      <c r="H406" s="5" t="s">
        <v>70</v>
      </c>
      <c r="I406" s="12" t="s">
        <v>34</v>
      </c>
      <c r="J406" s="16" t="s">
        <v>774</v>
      </c>
      <c r="K406" s="16"/>
      <c r="L406" s="16"/>
      <c r="M406" s="176">
        <v>43009</v>
      </c>
      <c r="N406" s="176"/>
      <c r="O406" s="176">
        <v>43555</v>
      </c>
      <c r="P406" s="12">
        <v>60</v>
      </c>
      <c r="Q406" s="13" t="s">
        <v>143</v>
      </c>
      <c r="R406" s="18">
        <v>4000000</v>
      </c>
      <c r="S406" s="5" t="s">
        <v>98</v>
      </c>
      <c r="T406" s="12" t="s">
        <v>41</v>
      </c>
      <c r="U406" s="4"/>
      <c r="V406" s="4"/>
      <c r="W406" s="12" t="s">
        <v>2622</v>
      </c>
      <c r="X406" s="5" t="s">
        <v>1091</v>
      </c>
      <c r="Y406" s="5" t="s">
        <v>457</v>
      </c>
      <c r="Z406" s="5"/>
      <c r="AA406" s="5"/>
      <c r="AB406" s="193">
        <v>43416</v>
      </c>
      <c r="AC406" s="8" t="s">
        <v>3101</v>
      </c>
      <c r="AD406" s="4"/>
      <c r="AE406" s="38"/>
    </row>
    <row r="407" spans="1:32" s="321" customFormat="1" ht="86.4" customHeight="1">
      <c r="A407" s="889"/>
      <c r="B407" s="53"/>
      <c r="C407" s="4" t="s">
        <v>3102</v>
      </c>
      <c r="D407" s="9" t="s">
        <v>29</v>
      </c>
      <c r="E407" s="9"/>
      <c r="F407" s="9"/>
      <c r="G407" s="9"/>
      <c r="H407" s="5" t="s">
        <v>70</v>
      </c>
      <c r="I407" s="5" t="s">
        <v>34</v>
      </c>
      <c r="J407" s="16" t="s">
        <v>3103</v>
      </c>
      <c r="K407" s="8"/>
      <c r="L407" s="5" t="e">
        <f>IF(OR(S407=#REF!,S407=#REF!,S407=#REF!,S407=#REF!,S407=#REF!,S407=#REF!,S407=#REF!,S407=#REF!),12,IF(OR(S407=#REF!,S407=#REF!,S407=#REF!,S407=#REF!,S407=#REF!,S407=#REF!,S407=#REF!),3,IF(S407=#REF!,1,IF(S407=#REF!,18,IF(OR(S407=#REF!,S407=#REF!,S407=#REF!,S407=#REF!,S407=#REF!),14,"Invalid proposed procurement method")))))</f>
        <v>#REF!</v>
      </c>
      <c r="M407" s="193" t="str">
        <f>IFERROR(EDATE($N407,-3),"Invalid procurement method or date entered")</f>
        <v>Invalid procurement method or date entered</v>
      </c>
      <c r="N407" s="193" t="str">
        <f>IFERROR(EDATE(O407,-L407),"Invalid procurement method or date entered")</f>
        <v>Invalid procurement method or date entered</v>
      </c>
      <c r="O407" s="193">
        <v>43556</v>
      </c>
      <c r="P407" s="5">
        <v>36</v>
      </c>
      <c r="Q407" s="7" t="s">
        <v>488</v>
      </c>
      <c r="R407" s="18">
        <v>102296.26</v>
      </c>
      <c r="S407" s="5" t="s">
        <v>109</v>
      </c>
      <c r="T407" s="11" t="s">
        <v>54</v>
      </c>
      <c r="U407" s="14" t="s">
        <v>3104</v>
      </c>
      <c r="V407" s="14"/>
      <c r="W407" s="5" t="s">
        <v>1140</v>
      </c>
      <c r="X407" s="5" t="s">
        <v>1091</v>
      </c>
      <c r="Y407" s="5" t="s">
        <v>457</v>
      </c>
      <c r="Z407" s="5" t="s">
        <v>40</v>
      </c>
      <c r="AA407" s="5" t="s">
        <v>54</v>
      </c>
      <c r="AB407" s="193" t="s">
        <v>1269</v>
      </c>
      <c r="AC407" s="8" t="s">
        <v>3105</v>
      </c>
      <c r="AD407" s="5" t="s">
        <v>259</v>
      </c>
      <c r="AE407" s="39">
        <f>19807.36+2737.45+5212.5+6307.5</f>
        <v>34064.81</v>
      </c>
    </row>
    <row r="408" spans="1:32" s="321" customFormat="1" ht="43.35" customHeight="1">
      <c r="A408" s="1363"/>
      <c r="B408" s="1" t="s">
        <v>28</v>
      </c>
      <c r="C408" s="4"/>
      <c r="D408" s="8" t="s">
        <v>82</v>
      </c>
      <c r="E408" s="8"/>
      <c r="F408" s="8"/>
      <c r="G408" s="8"/>
      <c r="H408" s="5" t="s">
        <v>70</v>
      </c>
      <c r="I408" s="5" t="s">
        <v>64</v>
      </c>
      <c r="J408" s="16" t="s">
        <v>2782</v>
      </c>
      <c r="K408" s="8"/>
      <c r="L408" s="8"/>
      <c r="M408" s="14">
        <v>42767</v>
      </c>
      <c r="N408" s="14"/>
      <c r="O408" s="14">
        <v>43556</v>
      </c>
      <c r="P408" s="12">
        <v>12</v>
      </c>
      <c r="Q408" s="5" t="s">
        <v>1243</v>
      </c>
      <c r="R408" s="18">
        <v>60000</v>
      </c>
      <c r="S408" s="5" t="s">
        <v>2608</v>
      </c>
      <c r="T408" s="14" t="s">
        <v>54</v>
      </c>
      <c r="U408" s="4"/>
      <c r="V408" s="4"/>
      <c r="W408" s="5" t="s">
        <v>3106</v>
      </c>
      <c r="X408" s="5" t="s">
        <v>2585</v>
      </c>
      <c r="Y408" s="5" t="s">
        <v>457</v>
      </c>
      <c r="Z408" s="5"/>
      <c r="AA408" s="5"/>
      <c r="AB408" s="193"/>
      <c r="AC408" s="8" t="s">
        <v>3107</v>
      </c>
      <c r="AD408" s="4"/>
      <c r="AE408" s="5"/>
    </row>
    <row r="409" spans="1:32" s="321" customFormat="1" ht="57.6" customHeight="1">
      <c r="A409" s="454"/>
      <c r="B409" s="1" t="s">
        <v>28</v>
      </c>
      <c r="C409" s="4" t="s">
        <v>3108</v>
      </c>
      <c r="D409" s="8" t="s">
        <v>29</v>
      </c>
      <c r="E409" s="8"/>
      <c r="F409" s="8"/>
      <c r="G409" s="8"/>
      <c r="H409" s="5" t="s">
        <v>70</v>
      </c>
      <c r="I409" s="5" t="s">
        <v>34</v>
      </c>
      <c r="J409" s="16" t="s">
        <v>3109</v>
      </c>
      <c r="K409" s="16"/>
      <c r="L409" s="16"/>
      <c r="M409" s="176">
        <v>42979</v>
      </c>
      <c r="N409" s="176"/>
      <c r="O409" s="193">
        <v>43556</v>
      </c>
      <c r="P409" s="5">
        <v>60</v>
      </c>
      <c r="Q409" s="5">
        <v>60</v>
      </c>
      <c r="R409" s="18">
        <v>9000000</v>
      </c>
      <c r="S409" s="5" t="s">
        <v>98</v>
      </c>
      <c r="T409" s="12" t="s">
        <v>41</v>
      </c>
      <c r="U409" s="4"/>
      <c r="V409" s="4"/>
      <c r="W409" s="5" t="s">
        <v>117</v>
      </c>
      <c r="X409" s="5" t="s">
        <v>1091</v>
      </c>
      <c r="Y409" s="5" t="s">
        <v>457</v>
      </c>
      <c r="Z409" s="5"/>
      <c r="AA409" s="5"/>
      <c r="AB409" s="193">
        <v>43423</v>
      </c>
      <c r="AC409" s="8" t="s">
        <v>3110</v>
      </c>
      <c r="AD409" s="4"/>
      <c r="AE409" s="39"/>
    </row>
    <row r="410" spans="1:32" s="321" customFormat="1" ht="115.35" customHeight="1">
      <c r="A410" s="852"/>
      <c r="B410" s="1" t="s">
        <v>28</v>
      </c>
      <c r="C410" s="4"/>
      <c r="D410" s="8" t="s">
        <v>29</v>
      </c>
      <c r="E410" s="8"/>
      <c r="F410" s="8"/>
      <c r="G410" s="8"/>
      <c r="H410" s="5" t="s">
        <v>119</v>
      </c>
      <c r="I410" s="5" t="s">
        <v>34</v>
      </c>
      <c r="J410" s="16" t="s">
        <v>3111</v>
      </c>
      <c r="K410" s="8"/>
      <c r="L410" s="8"/>
      <c r="M410" s="193">
        <v>43009</v>
      </c>
      <c r="N410" s="193"/>
      <c r="O410" s="193">
        <v>43556</v>
      </c>
      <c r="P410" s="5">
        <v>24</v>
      </c>
      <c r="Q410" s="7" t="s">
        <v>365</v>
      </c>
      <c r="R410" s="18">
        <v>120000</v>
      </c>
      <c r="S410" s="5" t="s">
        <v>163</v>
      </c>
      <c r="T410" s="11" t="s">
        <v>54</v>
      </c>
      <c r="U410" s="4"/>
      <c r="V410" s="4"/>
      <c r="W410" s="5" t="s">
        <v>3112</v>
      </c>
      <c r="X410" s="5" t="s">
        <v>254</v>
      </c>
      <c r="Y410" s="5" t="s">
        <v>457</v>
      </c>
      <c r="Z410" s="5"/>
      <c r="AA410" s="5"/>
      <c r="AB410" s="177">
        <v>43551</v>
      </c>
      <c r="AC410" s="8" t="s">
        <v>3113</v>
      </c>
      <c r="AD410" s="4"/>
      <c r="AE410" s="39"/>
    </row>
    <row r="411" spans="1:32" s="321" customFormat="1" ht="216" customHeight="1">
      <c r="A411" s="852"/>
      <c r="B411" s="1" t="s">
        <v>28</v>
      </c>
      <c r="C411" s="4" t="s">
        <v>3114</v>
      </c>
      <c r="D411" s="5" t="s">
        <v>29</v>
      </c>
      <c r="E411" s="5"/>
      <c r="F411" s="5"/>
      <c r="G411" s="5"/>
      <c r="H411" s="5" t="s">
        <v>176</v>
      </c>
      <c r="I411" s="5" t="s">
        <v>34</v>
      </c>
      <c r="J411" s="16" t="s">
        <v>1226</v>
      </c>
      <c r="K411" s="16"/>
      <c r="L411" s="16"/>
      <c r="M411" s="176">
        <v>43040</v>
      </c>
      <c r="N411" s="176"/>
      <c r="O411" s="176">
        <v>43556</v>
      </c>
      <c r="P411" s="12">
        <v>36</v>
      </c>
      <c r="Q411" s="7" t="s">
        <v>488</v>
      </c>
      <c r="R411" s="18" t="s">
        <v>35</v>
      </c>
      <c r="S411" s="5" t="s">
        <v>909</v>
      </c>
      <c r="T411" s="12" t="s">
        <v>110</v>
      </c>
      <c r="U411" s="4"/>
      <c r="V411" s="4"/>
      <c r="W411" s="5" t="s">
        <v>1227</v>
      </c>
      <c r="X411" s="5" t="s">
        <v>1536</v>
      </c>
      <c r="Y411" s="5" t="s">
        <v>179</v>
      </c>
      <c r="Z411" s="5"/>
      <c r="AA411" s="5"/>
      <c r="AB411" s="193">
        <v>43696</v>
      </c>
      <c r="AC411" s="8" t="s">
        <v>3115</v>
      </c>
      <c r="AD411" s="4"/>
      <c r="AE411" s="38"/>
      <c r="AF411" s="381"/>
    </row>
    <row r="412" spans="1:32" s="321" customFormat="1" ht="101.1" customHeight="1">
      <c r="A412" s="888"/>
      <c r="B412" s="1" t="s">
        <v>28</v>
      </c>
      <c r="C412" s="4"/>
      <c r="D412" s="8" t="s">
        <v>29</v>
      </c>
      <c r="E412" s="8"/>
      <c r="F412" s="8"/>
      <c r="G412" s="8"/>
      <c r="H412" s="5" t="s">
        <v>70</v>
      </c>
      <c r="I412" s="5" t="s">
        <v>34</v>
      </c>
      <c r="J412" s="16" t="s">
        <v>3116</v>
      </c>
      <c r="K412" s="16"/>
      <c r="L412" s="16"/>
      <c r="M412" s="176">
        <v>43132</v>
      </c>
      <c r="N412" s="176"/>
      <c r="O412" s="176">
        <v>43556</v>
      </c>
      <c r="P412" s="12">
        <v>48</v>
      </c>
      <c r="Q412" s="13" t="s">
        <v>191</v>
      </c>
      <c r="R412" s="18">
        <v>170000</v>
      </c>
      <c r="S412" s="5" t="s">
        <v>163</v>
      </c>
      <c r="T412" s="12" t="s">
        <v>54</v>
      </c>
      <c r="U412" s="4"/>
      <c r="V412" s="4"/>
      <c r="W412" s="5" t="s">
        <v>286</v>
      </c>
      <c r="X412" s="5" t="s">
        <v>2988</v>
      </c>
      <c r="Y412" s="5" t="s">
        <v>457</v>
      </c>
      <c r="Z412" s="5"/>
      <c r="AA412" s="17"/>
      <c r="AB412" s="193">
        <v>43388</v>
      </c>
      <c r="AC412" s="35" t="s">
        <v>3117</v>
      </c>
      <c r="AD412" s="4"/>
      <c r="AE412" s="12"/>
      <c r="AF412" s="381"/>
    </row>
    <row r="413" spans="1:32" s="321" customFormat="1" ht="57.6" customHeight="1">
      <c r="A413" s="888"/>
      <c r="B413" s="1" t="s">
        <v>28</v>
      </c>
      <c r="C413" s="4" t="s">
        <v>3118</v>
      </c>
      <c r="D413" s="8" t="s">
        <v>29</v>
      </c>
      <c r="E413" s="8"/>
      <c r="F413" s="8"/>
      <c r="G413" s="8"/>
      <c r="H413" s="5" t="s">
        <v>70</v>
      </c>
      <c r="I413" s="12" t="s">
        <v>34</v>
      </c>
      <c r="J413" s="16" t="s">
        <v>3119</v>
      </c>
      <c r="K413" s="8"/>
      <c r="L413" s="8"/>
      <c r="M413" s="193">
        <v>43132</v>
      </c>
      <c r="N413" s="193"/>
      <c r="O413" s="193">
        <v>43556</v>
      </c>
      <c r="P413" s="5">
        <v>36</v>
      </c>
      <c r="Q413" s="7" t="s">
        <v>488</v>
      </c>
      <c r="R413" s="18">
        <v>471716.1</v>
      </c>
      <c r="S413" s="5" t="s">
        <v>109</v>
      </c>
      <c r="T413" s="11" t="s">
        <v>54</v>
      </c>
      <c r="U413" s="4"/>
      <c r="V413" s="4"/>
      <c r="W413" s="5" t="s">
        <v>117</v>
      </c>
      <c r="X413" s="5" t="s">
        <v>1091</v>
      </c>
      <c r="Y413" s="5" t="s">
        <v>457</v>
      </c>
      <c r="Z413" s="5"/>
      <c r="AA413" s="5"/>
      <c r="AB413" s="193">
        <v>43672</v>
      </c>
      <c r="AC413" s="35" t="s">
        <v>3120</v>
      </c>
      <c r="AD413" s="4"/>
      <c r="AE413" s="39" t="s">
        <v>43</v>
      </c>
      <c r="AF413" s="385"/>
    </row>
    <row r="414" spans="1:32" s="317" customFormat="1" ht="50.25" customHeight="1">
      <c r="A414" s="888"/>
      <c r="B414" s="1" t="s">
        <v>28</v>
      </c>
      <c r="C414" s="4" t="s">
        <v>3121</v>
      </c>
      <c r="D414" s="8" t="s">
        <v>60</v>
      </c>
      <c r="E414" s="8"/>
      <c r="F414" s="8"/>
      <c r="G414" s="8"/>
      <c r="H414" s="5" t="s">
        <v>3122</v>
      </c>
      <c r="I414" s="5" t="s">
        <v>204</v>
      </c>
      <c r="J414" s="16" t="s">
        <v>3123</v>
      </c>
      <c r="K414" s="16"/>
      <c r="L414" s="16"/>
      <c r="M414" s="14">
        <v>43160</v>
      </c>
      <c r="N414" s="14"/>
      <c r="O414" s="14">
        <v>43556</v>
      </c>
      <c r="P414" s="12">
        <v>25</v>
      </c>
      <c r="Q414" s="5">
        <v>25</v>
      </c>
      <c r="R414" s="18">
        <v>19850</v>
      </c>
      <c r="S414" s="5" t="s">
        <v>53</v>
      </c>
      <c r="T414" s="14" t="s">
        <v>54</v>
      </c>
      <c r="U414" s="4"/>
      <c r="V414" s="4"/>
      <c r="W414" s="5" t="s">
        <v>3124</v>
      </c>
      <c r="X414" s="5" t="s">
        <v>1091</v>
      </c>
      <c r="Y414" s="5" t="s">
        <v>457</v>
      </c>
      <c r="Z414" s="5"/>
      <c r="AA414" s="5"/>
      <c r="AB414" s="193">
        <v>43549</v>
      </c>
      <c r="AC414" s="35" t="s">
        <v>3125</v>
      </c>
      <c r="AD414" s="4"/>
      <c r="AE414" s="39">
        <v>9528</v>
      </c>
      <c r="AF414" s="381"/>
    </row>
    <row r="415" spans="1:32" s="322" customFormat="1" ht="73.5" customHeight="1">
      <c r="A415" s="888"/>
      <c r="B415" s="1" t="s">
        <v>28</v>
      </c>
      <c r="C415" s="4"/>
      <c r="D415" s="9" t="s">
        <v>29</v>
      </c>
      <c r="E415" s="9"/>
      <c r="F415" s="9"/>
      <c r="G415" s="9"/>
      <c r="H415" s="5" t="s">
        <v>336</v>
      </c>
      <c r="I415" s="5" t="s">
        <v>64</v>
      </c>
      <c r="J415" s="16" t="s">
        <v>3126</v>
      </c>
      <c r="K415" s="16"/>
      <c r="L415" s="16"/>
      <c r="M415" s="176">
        <v>43166</v>
      </c>
      <c r="N415" s="176"/>
      <c r="O415" s="176">
        <v>43556</v>
      </c>
      <c r="P415" s="12">
        <v>48</v>
      </c>
      <c r="Q415" s="7" t="s">
        <v>1084</v>
      </c>
      <c r="R415" s="18">
        <v>280000</v>
      </c>
      <c r="S415" s="5" t="s">
        <v>66</v>
      </c>
      <c r="T415" s="5" t="s">
        <v>36</v>
      </c>
      <c r="U415" s="4"/>
      <c r="V415" s="4"/>
      <c r="W415" s="5" t="s">
        <v>3127</v>
      </c>
      <c r="X415" s="5" t="s">
        <v>1088</v>
      </c>
      <c r="Y415" s="5" t="s">
        <v>457</v>
      </c>
      <c r="Z415" s="5"/>
      <c r="AA415" s="5"/>
      <c r="AB415" s="193">
        <v>43686</v>
      </c>
      <c r="AC415" s="32" t="s">
        <v>3128</v>
      </c>
      <c r="AD415" s="1347"/>
      <c r="AE415" s="38"/>
      <c r="AF415" s="321"/>
    </row>
    <row r="416" spans="1:32" s="321" customFormat="1" ht="86.4" customHeight="1">
      <c r="A416" s="888"/>
      <c r="B416" s="1" t="s">
        <v>28</v>
      </c>
      <c r="C416" s="4"/>
      <c r="D416" s="9" t="s">
        <v>29</v>
      </c>
      <c r="E416" s="9"/>
      <c r="F416" s="9"/>
      <c r="G416" s="9"/>
      <c r="H416" s="5" t="s">
        <v>33</v>
      </c>
      <c r="I416" s="5" t="s">
        <v>34</v>
      </c>
      <c r="J416" s="16" t="s">
        <v>3129</v>
      </c>
      <c r="K416" s="16"/>
      <c r="L416" s="16"/>
      <c r="M416" s="176">
        <v>43191</v>
      </c>
      <c r="N416" s="176"/>
      <c r="O416" s="176">
        <v>43556</v>
      </c>
      <c r="P416" s="15">
        <v>36</v>
      </c>
      <c r="Q416" s="7">
        <v>36</v>
      </c>
      <c r="R416" s="18">
        <v>150000</v>
      </c>
      <c r="S416" s="176" t="s">
        <v>109</v>
      </c>
      <c r="T416" s="44" t="s">
        <v>36</v>
      </c>
      <c r="U416" s="44" t="s">
        <v>37</v>
      </c>
      <c r="V416" s="44"/>
      <c r="W416" s="5" t="s">
        <v>1227</v>
      </c>
      <c r="X416" s="5" t="s">
        <v>1536</v>
      </c>
      <c r="Y416" s="5" t="s">
        <v>179</v>
      </c>
      <c r="Z416" s="5"/>
      <c r="AA416" s="5"/>
      <c r="AB416" s="193">
        <v>43900</v>
      </c>
      <c r="AC416" s="32" t="s">
        <v>3130</v>
      </c>
      <c r="AD416" s="12" t="s">
        <v>42</v>
      </c>
      <c r="AE416" s="38">
        <v>50000</v>
      </c>
    </row>
    <row r="417" spans="1:32" s="321" customFormat="1" ht="57.6" customHeight="1">
      <c r="A417" s="888"/>
      <c r="B417" s="1" t="s">
        <v>28</v>
      </c>
      <c r="C417" s="4"/>
      <c r="D417" s="8" t="s">
        <v>29</v>
      </c>
      <c r="E417" s="8"/>
      <c r="F417" s="8"/>
      <c r="G417" s="8"/>
      <c r="H417" s="5" t="s">
        <v>81</v>
      </c>
      <c r="I417" s="5" t="s">
        <v>64</v>
      </c>
      <c r="J417" s="16" t="s">
        <v>951</v>
      </c>
      <c r="K417" s="16"/>
      <c r="L417" s="16"/>
      <c r="M417" s="176">
        <v>43191</v>
      </c>
      <c r="N417" s="176"/>
      <c r="O417" s="176">
        <v>43556</v>
      </c>
      <c r="P417" s="12">
        <v>180</v>
      </c>
      <c r="Q417" s="12" t="s">
        <v>3131</v>
      </c>
      <c r="R417" s="39">
        <v>9000000</v>
      </c>
      <c r="S417" s="5" t="s">
        <v>35</v>
      </c>
      <c r="T417" s="12" t="s">
        <v>41</v>
      </c>
      <c r="U417" s="4"/>
      <c r="V417" s="4"/>
      <c r="W417" s="5" t="s">
        <v>1249</v>
      </c>
      <c r="X417" s="5" t="s">
        <v>2988</v>
      </c>
      <c r="Y417" s="5" t="s">
        <v>457</v>
      </c>
      <c r="Z417" s="5"/>
      <c r="AA417" s="5"/>
      <c r="AB417" s="193">
        <v>43276</v>
      </c>
      <c r="AC417" s="35" t="s">
        <v>3132</v>
      </c>
      <c r="AD417" s="4"/>
      <c r="AE417" s="17">
        <v>600000</v>
      </c>
    </row>
    <row r="418" spans="1:32" s="321" customFormat="1" ht="43.2">
      <c r="A418" s="1364"/>
      <c r="B418" s="1" t="s">
        <v>28</v>
      </c>
      <c r="C418" s="4" t="s">
        <v>3133</v>
      </c>
      <c r="D418" s="1327" t="s">
        <v>60</v>
      </c>
      <c r="E418" s="1327"/>
      <c r="F418" s="1327"/>
      <c r="G418" s="1327"/>
      <c r="H418" s="1335" t="s">
        <v>63</v>
      </c>
      <c r="I418" s="1335" t="s">
        <v>34</v>
      </c>
      <c r="J418" s="1339" t="s">
        <v>3134</v>
      </c>
      <c r="K418" s="1339"/>
      <c r="L418" s="1339"/>
      <c r="M418" s="1344">
        <v>43191</v>
      </c>
      <c r="N418" s="1344"/>
      <c r="O418" s="1344">
        <v>43556</v>
      </c>
      <c r="P418" s="1330">
        <v>72</v>
      </c>
      <c r="Q418" s="1335" t="s">
        <v>1301</v>
      </c>
      <c r="R418" s="1441">
        <v>42000000</v>
      </c>
      <c r="S418" s="1335" t="s">
        <v>98</v>
      </c>
      <c r="T418" s="12" t="s">
        <v>41</v>
      </c>
      <c r="U418" s="4"/>
      <c r="V418" s="4"/>
      <c r="W418" s="1335" t="s">
        <v>67</v>
      </c>
      <c r="X418" s="1335" t="s">
        <v>1091</v>
      </c>
      <c r="Y418" s="5" t="s">
        <v>457</v>
      </c>
      <c r="Z418" s="5"/>
      <c r="AA418" s="1335"/>
      <c r="AB418" s="193">
        <v>43641</v>
      </c>
      <c r="AC418" s="113" t="s">
        <v>3135</v>
      </c>
      <c r="AD418" s="4"/>
      <c r="AE418" s="1348">
        <v>7000000</v>
      </c>
    </row>
    <row r="419" spans="1:32" s="321" customFormat="1" ht="201.6" customHeight="1">
      <c r="A419" s="888"/>
      <c r="B419" s="1" t="s">
        <v>28</v>
      </c>
      <c r="C419" s="4" t="s">
        <v>43</v>
      </c>
      <c r="D419" s="1347" t="s">
        <v>29</v>
      </c>
      <c r="E419" s="1347"/>
      <c r="F419" s="1347"/>
      <c r="G419" s="1347"/>
      <c r="H419" s="1409" t="s">
        <v>2791</v>
      </c>
      <c r="I419" s="1380" t="s">
        <v>34</v>
      </c>
      <c r="J419" s="1382" t="s">
        <v>235</v>
      </c>
      <c r="K419" s="1382"/>
      <c r="L419" s="1382"/>
      <c r="M419" s="1329">
        <v>43191</v>
      </c>
      <c r="N419" s="1329"/>
      <c r="O419" s="1329">
        <v>43556</v>
      </c>
      <c r="P419" s="1330">
        <v>48</v>
      </c>
      <c r="Q419" s="1335" t="s">
        <v>1062</v>
      </c>
      <c r="R419" s="18">
        <v>200000</v>
      </c>
      <c r="S419" s="176" t="s">
        <v>1163</v>
      </c>
      <c r="T419" s="1330" t="s">
        <v>54</v>
      </c>
      <c r="U419" s="4"/>
      <c r="V419" s="4"/>
      <c r="W419" s="1330" t="s">
        <v>3136</v>
      </c>
      <c r="X419" s="1335" t="s">
        <v>150</v>
      </c>
      <c r="Y419" s="5" t="s">
        <v>457</v>
      </c>
      <c r="Z419" s="5"/>
      <c r="AA419" s="1347"/>
      <c r="AB419" s="1337">
        <v>43622</v>
      </c>
      <c r="AC419" s="998" t="s">
        <v>3137</v>
      </c>
      <c r="AD419" s="16"/>
      <c r="AE419" s="1349">
        <v>50000</v>
      </c>
      <c r="AF419"/>
    </row>
    <row r="420" spans="1:32" s="189" customFormat="1" ht="43.2">
      <c r="A420" s="888"/>
      <c r="B420" s="1" t="s">
        <v>28</v>
      </c>
      <c r="C420" s="4"/>
      <c r="D420" s="8" t="s">
        <v>29</v>
      </c>
      <c r="E420" s="8"/>
      <c r="F420" s="8"/>
      <c r="G420" s="8"/>
      <c r="H420" s="5" t="s">
        <v>2898</v>
      </c>
      <c r="I420" s="5" t="s">
        <v>34</v>
      </c>
      <c r="J420" s="16" t="s">
        <v>3138</v>
      </c>
      <c r="K420" s="8"/>
      <c r="L420" s="8"/>
      <c r="M420" s="193">
        <v>43272</v>
      </c>
      <c r="N420" s="193"/>
      <c r="O420" s="193">
        <v>43556</v>
      </c>
      <c r="P420" s="5">
        <v>24</v>
      </c>
      <c r="Q420" s="7" t="s">
        <v>365</v>
      </c>
      <c r="R420" s="18">
        <v>19017</v>
      </c>
      <c r="S420" s="5" t="s">
        <v>217</v>
      </c>
      <c r="T420" s="11" t="s">
        <v>54</v>
      </c>
      <c r="U420" s="4"/>
      <c r="V420" s="4"/>
      <c r="W420" s="5" t="s">
        <v>3139</v>
      </c>
      <c r="X420" s="5" t="s">
        <v>1053</v>
      </c>
      <c r="Y420" s="5" t="s">
        <v>457</v>
      </c>
      <c r="Z420" s="5"/>
      <c r="AA420" s="5"/>
      <c r="AB420" s="193">
        <v>43538</v>
      </c>
      <c r="AC420" s="8" t="s">
        <v>3140</v>
      </c>
      <c r="AD420" s="4"/>
      <c r="AE420" s="39"/>
      <c r="AF420" s="321"/>
    </row>
    <row r="421" spans="1:32" ht="43.2">
      <c r="A421" s="888"/>
      <c r="B421" s="1" t="s">
        <v>28</v>
      </c>
      <c r="C421" s="4"/>
      <c r="D421" s="8" t="s">
        <v>29</v>
      </c>
      <c r="E421" s="8"/>
      <c r="F421" s="8"/>
      <c r="G421" s="8"/>
      <c r="H421" s="5" t="s">
        <v>2898</v>
      </c>
      <c r="I421" s="5" t="s">
        <v>34</v>
      </c>
      <c r="J421" s="16" t="s">
        <v>3138</v>
      </c>
      <c r="K421" s="8"/>
      <c r="L421" s="8"/>
      <c r="M421" s="193">
        <v>43272</v>
      </c>
      <c r="N421" s="193"/>
      <c r="O421" s="193">
        <v>43556</v>
      </c>
      <c r="P421" s="5">
        <v>24</v>
      </c>
      <c r="Q421" s="7" t="s">
        <v>365</v>
      </c>
      <c r="R421" s="18">
        <v>19017</v>
      </c>
      <c r="S421" s="5" t="s">
        <v>217</v>
      </c>
      <c r="T421" s="11" t="s">
        <v>54</v>
      </c>
      <c r="U421" s="4"/>
      <c r="V421" s="4"/>
      <c r="W421" s="5" t="s">
        <v>3139</v>
      </c>
      <c r="X421" s="5" t="s">
        <v>1053</v>
      </c>
      <c r="Y421" s="5" t="s">
        <v>457</v>
      </c>
      <c r="Z421" s="5"/>
      <c r="AA421" s="5"/>
      <c r="AB421" s="193">
        <v>43538</v>
      </c>
      <c r="AC421" s="8" t="s">
        <v>3140</v>
      </c>
      <c r="AD421" s="4"/>
      <c r="AE421" s="39"/>
    </row>
    <row r="422" spans="1:32" ht="173.1" customHeight="1">
      <c r="A422" s="888"/>
      <c r="B422" s="1" t="s">
        <v>28</v>
      </c>
      <c r="C422" s="4"/>
      <c r="D422" s="8" t="s">
        <v>29</v>
      </c>
      <c r="E422" s="8"/>
      <c r="F422" s="8"/>
      <c r="G422" s="8"/>
      <c r="H422" s="5" t="s">
        <v>2898</v>
      </c>
      <c r="I422" s="5" t="s">
        <v>34</v>
      </c>
      <c r="J422" s="16" t="s">
        <v>652</v>
      </c>
      <c r="K422" s="16"/>
      <c r="L422" s="16"/>
      <c r="M422" s="193">
        <v>43282</v>
      </c>
      <c r="N422" s="193"/>
      <c r="O422" s="176">
        <v>43556</v>
      </c>
      <c r="P422" s="12">
        <v>120</v>
      </c>
      <c r="Q422" s="12" t="s">
        <v>3141</v>
      </c>
      <c r="R422" s="18">
        <v>915000</v>
      </c>
      <c r="S422" s="12" t="s">
        <v>98</v>
      </c>
      <c r="T422" s="11" t="s">
        <v>54</v>
      </c>
      <c r="U422" s="4"/>
      <c r="V422" s="4"/>
      <c r="W422" s="5" t="s">
        <v>3142</v>
      </c>
      <c r="X422" s="5" t="s">
        <v>2919</v>
      </c>
      <c r="Y422" s="5" t="s">
        <v>457</v>
      </c>
      <c r="Z422" s="5"/>
      <c r="AA422" s="12"/>
      <c r="AB422" s="1386">
        <v>43578</v>
      </c>
      <c r="AC422" s="8" t="s">
        <v>3143</v>
      </c>
      <c r="AD422" s="10"/>
      <c r="AE422" s="39"/>
      <c r="AF422" s="321"/>
    </row>
    <row r="423" spans="1:32" ht="57.6">
      <c r="A423" s="888"/>
      <c r="B423" s="1" t="s">
        <v>28</v>
      </c>
      <c r="C423" s="4"/>
      <c r="D423" s="8" t="s">
        <v>29</v>
      </c>
      <c r="E423" s="8"/>
      <c r="F423" s="8"/>
      <c r="G423" s="8"/>
      <c r="H423" s="5" t="s">
        <v>171</v>
      </c>
      <c r="I423" s="12" t="s">
        <v>34</v>
      </c>
      <c r="J423" s="16" t="s">
        <v>3144</v>
      </c>
      <c r="K423" s="16"/>
      <c r="L423" s="16"/>
      <c r="M423" s="176">
        <v>43282</v>
      </c>
      <c r="N423" s="176"/>
      <c r="O423" s="176">
        <v>43556</v>
      </c>
      <c r="P423" s="12">
        <v>9</v>
      </c>
      <c r="Q423" s="12">
        <v>9</v>
      </c>
      <c r="R423" s="18">
        <v>90000</v>
      </c>
      <c r="S423" s="5" t="s">
        <v>109</v>
      </c>
      <c r="T423" s="12" t="s">
        <v>54</v>
      </c>
      <c r="U423" s="4"/>
      <c r="V423" s="4"/>
      <c r="W423" s="5" t="s">
        <v>3145</v>
      </c>
      <c r="X423" s="5" t="s">
        <v>1536</v>
      </c>
      <c r="Y423" s="5" t="s">
        <v>457</v>
      </c>
      <c r="Z423" s="5"/>
      <c r="AA423" s="5"/>
      <c r="AB423" s="193">
        <v>43662</v>
      </c>
      <c r="AC423" s="8" t="s">
        <v>3146</v>
      </c>
      <c r="AD423" s="4"/>
      <c r="AE423" s="38">
        <v>90000</v>
      </c>
      <c r="AF423" s="321"/>
    </row>
    <row r="424" spans="1:32" s="321" customFormat="1" ht="57.6" customHeight="1">
      <c r="A424" s="888"/>
      <c r="B424" s="1" t="s">
        <v>28</v>
      </c>
      <c r="C424" s="4" t="s">
        <v>3147</v>
      </c>
      <c r="D424" s="5" t="s">
        <v>29</v>
      </c>
      <c r="E424" s="5"/>
      <c r="F424" s="5"/>
      <c r="G424" s="5"/>
      <c r="H424" s="5" t="s">
        <v>2898</v>
      </c>
      <c r="I424" s="5" t="s">
        <v>34</v>
      </c>
      <c r="J424" s="16" t="s">
        <v>952</v>
      </c>
      <c r="K424" s="16"/>
      <c r="L424" s="16"/>
      <c r="M424" s="193">
        <v>43282</v>
      </c>
      <c r="N424" s="193"/>
      <c r="O424" s="176">
        <v>43556</v>
      </c>
      <c r="P424" s="12">
        <v>60</v>
      </c>
      <c r="Q424" s="12">
        <v>60</v>
      </c>
      <c r="R424" s="18">
        <v>181215</v>
      </c>
      <c r="S424" s="5" t="s">
        <v>109</v>
      </c>
      <c r="T424" s="11" t="s">
        <v>54</v>
      </c>
      <c r="U424" s="4"/>
      <c r="V424" s="4"/>
      <c r="W424" s="5" t="s">
        <v>3142</v>
      </c>
      <c r="X424" s="5" t="s">
        <v>2919</v>
      </c>
      <c r="Y424" s="5" t="s">
        <v>457</v>
      </c>
      <c r="Z424" s="5"/>
      <c r="AA424" s="12"/>
      <c r="AB424" s="1386">
        <v>43685</v>
      </c>
      <c r="AC424" s="8" t="s">
        <v>3148</v>
      </c>
      <c r="AD424" s="4"/>
      <c r="AE424" s="39"/>
      <c r="AF424"/>
    </row>
    <row r="425" spans="1:32" s="321" customFormat="1" ht="57.6" customHeight="1">
      <c r="A425" s="888"/>
      <c r="B425" s="1" t="s">
        <v>28</v>
      </c>
      <c r="C425" s="4"/>
      <c r="D425" s="8" t="s">
        <v>29</v>
      </c>
      <c r="E425" s="8"/>
      <c r="F425" s="8"/>
      <c r="G425" s="8"/>
      <c r="H425" s="5" t="s">
        <v>2898</v>
      </c>
      <c r="I425" s="5" t="s">
        <v>34</v>
      </c>
      <c r="J425" s="16" t="s">
        <v>652</v>
      </c>
      <c r="K425" s="16"/>
      <c r="L425" s="16"/>
      <c r="M425" s="193">
        <v>43282</v>
      </c>
      <c r="N425" s="193"/>
      <c r="O425" s="176">
        <v>43556</v>
      </c>
      <c r="P425" s="12">
        <v>120</v>
      </c>
      <c r="Q425" s="12" t="s">
        <v>3141</v>
      </c>
      <c r="R425" s="18">
        <v>915000</v>
      </c>
      <c r="S425" s="12" t="s">
        <v>98</v>
      </c>
      <c r="T425" s="11" t="s">
        <v>54</v>
      </c>
      <c r="U425" s="4"/>
      <c r="V425" s="4"/>
      <c r="W425" s="5" t="s">
        <v>3142</v>
      </c>
      <c r="X425" s="5" t="s">
        <v>2919</v>
      </c>
      <c r="Y425" s="5" t="s">
        <v>457</v>
      </c>
      <c r="Z425" s="5"/>
      <c r="AA425" s="12"/>
      <c r="AB425" s="1386">
        <v>43578</v>
      </c>
      <c r="AC425" s="8" t="s">
        <v>3143</v>
      </c>
      <c r="AD425" s="10"/>
      <c r="AE425" s="39"/>
    </row>
    <row r="426" spans="1:32" s="321" customFormat="1" ht="57.6" customHeight="1">
      <c r="A426" s="888"/>
      <c r="B426" s="1" t="s">
        <v>28</v>
      </c>
      <c r="C426" s="4"/>
      <c r="D426" s="8" t="s">
        <v>29</v>
      </c>
      <c r="E426" s="8"/>
      <c r="F426" s="8"/>
      <c r="G426" s="8"/>
      <c r="H426" s="5" t="s">
        <v>171</v>
      </c>
      <c r="I426" s="12" t="s">
        <v>34</v>
      </c>
      <c r="J426" s="16" t="s">
        <v>3144</v>
      </c>
      <c r="K426" s="16"/>
      <c r="L426" s="16"/>
      <c r="M426" s="176">
        <v>43282</v>
      </c>
      <c r="N426" s="176"/>
      <c r="O426" s="176">
        <v>43556</v>
      </c>
      <c r="P426" s="12">
        <v>9</v>
      </c>
      <c r="Q426" s="12">
        <v>9</v>
      </c>
      <c r="R426" s="18">
        <v>90000</v>
      </c>
      <c r="S426" s="5" t="s">
        <v>109</v>
      </c>
      <c r="T426" s="12" t="s">
        <v>54</v>
      </c>
      <c r="U426" s="4"/>
      <c r="V426" s="4"/>
      <c r="W426" s="5" t="s">
        <v>3145</v>
      </c>
      <c r="X426" s="5" t="s">
        <v>1536</v>
      </c>
      <c r="Y426" s="5" t="s">
        <v>457</v>
      </c>
      <c r="Z426" s="5"/>
      <c r="AA426" s="5"/>
      <c r="AB426" s="193">
        <v>43662</v>
      </c>
      <c r="AC426" s="8" t="s">
        <v>3146</v>
      </c>
      <c r="AD426" s="4"/>
      <c r="AE426" s="38">
        <v>90000</v>
      </c>
      <c r="AF426" s="400"/>
    </row>
    <row r="427" spans="1:32" s="321" customFormat="1" ht="57.6" customHeight="1">
      <c r="A427" s="888"/>
      <c r="B427" s="1" t="s">
        <v>28</v>
      </c>
      <c r="C427" s="4" t="s">
        <v>3147</v>
      </c>
      <c r="D427" s="5" t="s">
        <v>29</v>
      </c>
      <c r="E427" s="5"/>
      <c r="F427" s="5"/>
      <c r="G427" s="5"/>
      <c r="H427" s="5" t="s">
        <v>2898</v>
      </c>
      <c r="I427" s="5" t="s">
        <v>34</v>
      </c>
      <c r="J427" s="16" t="s">
        <v>952</v>
      </c>
      <c r="K427" s="16"/>
      <c r="L427" s="16"/>
      <c r="M427" s="193">
        <v>43282</v>
      </c>
      <c r="N427" s="193"/>
      <c r="O427" s="176">
        <v>43556</v>
      </c>
      <c r="P427" s="12">
        <v>60</v>
      </c>
      <c r="Q427" s="12">
        <v>60</v>
      </c>
      <c r="R427" s="18">
        <v>181215</v>
      </c>
      <c r="S427" s="5" t="s">
        <v>109</v>
      </c>
      <c r="T427" s="11" t="s">
        <v>54</v>
      </c>
      <c r="U427" s="4"/>
      <c r="V427" s="4"/>
      <c r="W427" s="5" t="s">
        <v>3142</v>
      </c>
      <c r="X427" s="5" t="s">
        <v>2919</v>
      </c>
      <c r="Y427" s="5" t="s">
        <v>457</v>
      </c>
      <c r="Z427" s="5"/>
      <c r="AA427" s="12"/>
      <c r="AB427" s="1386">
        <v>43685</v>
      </c>
      <c r="AC427" s="8" t="s">
        <v>3148</v>
      </c>
      <c r="AD427" s="4"/>
      <c r="AE427" s="39"/>
      <c r="AF427" s="406"/>
    </row>
    <row r="428" spans="1:32" ht="230.4" customHeight="1">
      <c r="A428" s="888"/>
      <c r="B428" s="1" t="s">
        <v>28</v>
      </c>
      <c r="C428" s="4" t="s">
        <v>35</v>
      </c>
      <c r="D428" s="9" t="s">
        <v>29</v>
      </c>
      <c r="E428" s="9"/>
      <c r="F428" s="9"/>
      <c r="G428" s="9"/>
      <c r="H428" s="5" t="s">
        <v>70</v>
      </c>
      <c r="I428" s="15" t="s">
        <v>64</v>
      </c>
      <c r="J428" s="16" t="s">
        <v>2824</v>
      </c>
      <c r="K428" s="16"/>
      <c r="L428" s="16"/>
      <c r="M428" s="176">
        <v>43313</v>
      </c>
      <c r="N428" s="176"/>
      <c r="O428" s="176">
        <v>43556</v>
      </c>
      <c r="P428" s="12">
        <v>12</v>
      </c>
      <c r="Q428" s="7" t="s">
        <v>108</v>
      </c>
      <c r="R428" s="18">
        <v>10149.44</v>
      </c>
      <c r="S428" s="5" t="s">
        <v>66</v>
      </c>
      <c r="T428" s="5" t="s">
        <v>54</v>
      </c>
      <c r="U428" s="12" t="s">
        <v>37</v>
      </c>
      <c r="V428" s="12"/>
      <c r="W428" s="12" t="s">
        <v>113</v>
      </c>
      <c r="X428" s="5" t="s">
        <v>1536</v>
      </c>
      <c r="Y428" s="5" t="s">
        <v>59</v>
      </c>
      <c r="Z428" s="5"/>
      <c r="AA428" s="9"/>
      <c r="AB428" s="193">
        <v>43900</v>
      </c>
      <c r="AC428" s="8" t="s">
        <v>3149</v>
      </c>
      <c r="AD428" s="12" t="s">
        <v>3026</v>
      </c>
      <c r="AE428" s="41"/>
      <c r="AF428" s="321"/>
    </row>
    <row r="429" spans="1:32" s="321" customFormat="1" ht="144" customHeight="1">
      <c r="A429" s="888"/>
      <c r="B429" s="1" t="s">
        <v>28</v>
      </c>
      <c r="C429" s="4" t="s">
        <v>35</v>
      </c>
      <c r="D429" s="9" t="s">
        <v>29</v>
      </c>
      <c r="E429" s="9"/>
      <c r="F429" s="9"/>
      <c r="G429" s="9"/>
      <c r="H429" s="5" t="s">
        <v>70</v>
      </c>
      <c r="I429" s="15" t="s">
        <v>64</v>
      </c>
      <c r="J429" s="16" t="s">
        <v>2824</v>
      </c>
      <c r="K429" s="16"/>
      <c r="L429" s="16"/>
      <c r="M429" s="176">
        <v>43313</v>
      </c>
      <c r="N429" s="176"/>
      <c r="O429" s="176">
        <v>43556</v>
      </c>
      <c r="P429" s="12">
        <v>12</v>
      </c>
      <c r="Q429" s="7" t="s">
        <v>108</v>
      </c>
      <c r="R429" s="18">
        <v>10149.44</v>
      </c>
      <c r="S429" s="5" t="s">
        <v>66</v>
      </c>
      <c r="T429" s="5" t="s">
        <v>54</v>
      </c>
      <c r="U429" s="12" t="s">
        <v>37</v>
      </c>
      <c r="V429" s="12"/>
      <c r="W429" s="12" t="s">
        <v>113</v>
      </c>
      <c r="X429" s="5" t="s">
        <v>1536</v>
      </c>
      <c r="Y429" s="5" t="s">
        <v>59</v>
      </c>
      <c r="Z429" s="5"/>
      <c r="AA429" s="9"/>
      <c r="AB429" s="193">
        <v>43900</v>
      </c>
      <c r="AC429" s="8" t="s">
        <v>3149</v>
      </c>
      <c r="AD429" s="12" t="s">
        <v>3026</v>
      </c>
      <c r="AE429" s="41"/>
    </row>
    <row r="430" spans="1:32" s="321" customFormat="1" ht="409.6" customHeight="1">
      <c r="A430" s="888"/>
      <c r="B430" s="1" t="s">
        <v>28</v>
      </c>
      <c r="C430" s="4"/>
      <c r="D430" s="9" t="s">
        <v>29</v>
      </c>
      <c r="E430" s="9"/>
      <c r="F430" s="9"/>
      <c r="G430" s="9"/>
      <c r="H430" s="5" t="s">
        <v>76</v>
      </c>
      <c r="I430" s="12" t="s">
        <v>34</v>
      </c>
      <c r="J430" s="16" t="s">
        <v>2806</v>
      </c>
      <c r="K430" s="8"/>
      <c r="L430" s="8"/>
      <c r="M430" s="176">
        <v>43344</v>
      </c>
      <c r="N430" s="176"/>
      <c r="O430" s="176">
        <v>43556</v>
      </c>
      <c r="P430" s="12">
        <v>12</v>
      </c>
      <c r="Q430" s="7" t="s">
        <v>108</v>
      </c>
      <c r="R430" s="18">
        <v>6650</v>
      </c>
      <c r="S430" s="5" t="s">
        <v>909</v>
      </c>
      <c r="T430" s="5" t="s">
        <v>54</v>
      </c>
      <c r="U430" s="4"/>
      <c r="V430" s="4"/>
      <c r="W430" s="5" t="s">
        <v>1118</v>
      </c>
      <c r="X430" s="9" t="s">
        <v>90</v>
      </c>
      <c r="Y430" s="5" t="s">
        <v>39</v>
      </c>
      <c r="Z430" s="5"/>
      <c r="AA430" s="5"/>
      <c r="AB430" s="193">
        <v>43735</v>
      </c>
      <c r="AC430" s="8" t="s">
        <v>3150</v>
      </c>
      <c r="AD430" s="4"/>
      <c r="AE430" s="41"/>
    </row>
    <row r="431" spans="1:32" s="321" customFormat="1" ht="409.6">
      <c r="A431" s="899"/>
      <c r="B431" s="1" t="s">
        <v>28</v>
      </c>
      <c r="C431" s="4"/>
      <c r="D431" s="8" t="s">
        <v>29</v>
      </c>
      <c r="E431" s="8"/>
      <c r="F431" s="8"/>
      <c r="G431" s="8"/>
      <c r="H431" s="5" t="s">
        <v>70</v>
      </c>
      <c r="I431" s="5" t="s">
        <v>64</v>
      </c>
      <c r="J431" s="16" t="s">
        <v>2821</v>
      </c>
      <c r="K431" s="16"/>
      <c r="L431" s="16"/>
      <c r="M431" s="176">
        <v>43374</v>
      </c>
      <c r="N431" s="176"/>
      <c r="O431" s="176">
        <v>43556</v>
      </c>
      <c r="P431" s="12">
        <v>12</v>
      </c>
      <c r="Q431" s="13" t="s">
        <v>108</v>
      </c>
      <c r="R431" s="18">
        <v>20500</v>
      </c>
      <c r="S431" s="5" t="s">
        <v>66</v>
      </c>
      <c r="T431" s="12" t="s">
        <v>54</v>
      </c>
      <c r="U431" s="4"/>
      <c r="V431" s="4"/>
      <c r="W431" s="5" t="s">
        <v>3151</v>
      </c>
      <c r="X431" s="5" t="s">
        <v>90</v>
      </c>
      <c r="Y431" s="5" t="s">
        <v>457</v>
      </c>
      <c r="Z431" s="5"/>
      <c r="AA431" s="5"/>
      <c r="AB431" s="193">
        <v>43539</v>
      </c>
      <c r="AC431" s="999" t="s">
        <v>3152</v>
      </c>
      <c r="AD431" s="4"/>
      <c r="AE431" s="38">
        <v>20500</v>
      </c>
    </row>
    <row r="432" spans="1:32" s="321" customFormat="1" ht="43.2">
      <c r="A432" s="888"/>
      <c r="B432" s="1" t="s">
        <v>28</v>
      </c>
      <c r="C432" s="4"/>
      <c r="D432" s="8" t="s">
        <v>29</v>
      </c>
      <c r="E432" s="8"/>
      <c r="F432" s="8"/>
      <c r="G432" s="8"/>
      <c r="H432" s="5" t="s">
        <v>70</v>
      </c>
      <c r="I432" s="5" t="s">
        <v>34</v>
      </c>
      <c r="J432" s="16" t="s">
        <v>3153</v>
      </c>
      <c r="K432" s="8"/>
      <c r="L432" s="8"/>
      <c r="M432" s="14">
        <v>43374</v>
      </c>
      <c r="N432" s="14"/>
      <c r="O432" s="14">
        <v>43556</v>
      </c>
      <c r="P432" s="12">
        <v>12</v>
      </c>
      <c r="Q432" s="5">
        <v>12</v>
      </c>
      <c r="R432" s="18">
        <v>28615</v>
      </c>
      <c r="S432" s="5" t="s">
        <v>109</v>
      </c>
      <c r="T432" s="14" t="s">
        <v>54</v>
      </c>
      <c r="U432" s="4"/>
      <c r="V432" s="4"/>
      <c r="W432" s="5" t="s">
        <v>3154</v>
      </c>
      <c r="X432" s="5" t="s">
        <v>1053</v>
      </c>
      <c r="Y432" s="5" t="s">
        <v>457</v>
      </c>
      <c r="Z432" s="5"/>
      <c r="AA432" s="5"/>
      <c r="AB432" s="193">
        <v>43560</v>
      </c>
      <c r="AC432" s="313" t="s">
        <v>1264</v>
      </c>
      <c r="AD432" s="1250"/>
      <c r="AE432" s="1257"/>
    </row>
    <row r="433" spans="1:32" ht="389.1" customHeight="1">
      <c r="A433" s="888"/>
      <c r="B433" s="1" t="s">
        <v>28</v>
      </c>
      <c r="C433" s="4"/>
      <c r="D433" s="8" t="s">
        <v>29</v>
      </c>
      <c r="E433" s="8"/>
      <c r="F433" s="8"/>
      <c r="G433" s="8"/>
      <c r="H433" s="5" t="s">
        <v>2654</v>
      </c>
      <c r="I433" s="5" t="s">
        <v>34</v>
      </c>
      <c r="J433" s="16" t="s">
        <v>3155</v>
      </c>
      <c r="K433" s="16"/>
      <c r="L433" s="16"/>
      <c r="M433" s="176">
        <v>43374</v>
      </c>
      <c r="N433" s="176"/>
      <c r="O433" s="176">
        <v>43556</v>
      </c>
      <c r="P433" s="12">
        <v>12</v>
      </c>
      <c r="Q433" s="13" t="s">
        <v>108</v>
      </c>
      <c r="R433" s="18">
        <v>33000</v>
      </c>
      <c r="S433" s="5" t="s">
        <v>109</v>
      </c>
      <c r="T433" s="12" t="s">
        <v>54</v>
      </c>
      <c r="U433" s="4"/>
      <c r="V433" s="4"/>
      <c r="W433" s="5" t="s">
        <v>3156</v>
      </c>
      <c r="X433" s="5" t="s">
        <v>1053</v>
      </c>
      <c r="Y433" s="5" t="s">
        <v>457</v>
      </c>
      <c r="Z433" s="5"/>
      <c r="AA433" s="5"/>
      <c r="AB433" s="193">
        <v>43657</v>
      </c>
      <c r="AC433" s="8" t="s">
        <v>1286</v>
      </c>
      <c r="AD433" s="4"/>
      <c r="AE433" s="38"/>
      <c r="AF433" s="321"/>
    </row>
    <row r="434" spans="1:32" ht="409.6" customHeight="1">
      <c r="A434" s="888"/>
      <c r="B434" s="1" t="s">
        <v>28</v>
      </c>
      <c r="C434" s="4" t="s">
        <v>3157</v>
      </c>
      <c r="D434" s="8" t="s">
        <v>29</v>
      </c>
      <c r="E434" s="8"/>
      <c r="F434" s="8"/>
      <c r="G434" s="8"/>
      <c r="H434" s="5" t="s">
        <v>70</v>
      </c>
      <c r="I434" s="5" t="s">
        <v>34</v>
      </c>
      <c r="J434" s="16" t="s">
        <v>3158</v>
      </c>
      <c r="K434" s="8"/>
      <c r="L434" s="8"/>
      <c r="M434" s="14">
        <v>43405</v>
      </c>
      <c r="N434" s="14"/>
      <c r="O434" s="14">
        <v>43556</v>
      </c>
      <c r="P434" s="12">
        <v>12</v>
      </c>
      <c r="Q434" s="5">
        <v>12</v>
      </c>
      <c r="R434" s="18">
        <v>13500</v>
      </c>
      <c r="S434" s="5" t="s">
        <v>109</v>
      </c>
      <c r="T434" s="14" t="s">
        <v>54</v>
      </c>
      <c r="U434" s="4"/>
      <c r="V434" s="4"/>
      <c r="W434" s="5" t="s">
        <v>3154</v>
      </c>
      <c r="X434" s="5" t="s">
        <v>1053</v>
      </c>
      <c r="Y434" s="5" t="s">
        <v>457</v>
      </c>
      <c r="Z434" s="5"/>
      <c r="AA434" s="5"/>
      <c r="AB434" s="193">
        <v>43550</v>
      </c>
      <c r="AC434" s="8" t="s">
        <v>2813</v>
      </c>
      <c r="AD434" s="10"/>
      <c r="AE434" s="18">
        <v>13500</v>
      </c>
      <c r="AF434" s="321"/>
    </row>
    <row r="435" spans="1:32" ht="72" customHeight="1">
      <c r="A435" s="1364"/>
      <c r="B435" s="1" t="s">
        <v>28</v>
      </c>
      <c r="C435" s="4"/>
      <c r="D435" s="8" t="s">
        <v>29</v>
      </c>
      <c r="E435" s="8"/>
      <c r="F435" s="8"/>
      <c r="G435" s="8"/>
      <c r="H435" s="5" t="s">
        <v>70</v>
      </c>
      <c r="I435" s="5" t="s">
        <v>64</v>
      </c>
      <c r="J435" s="16" t="s">
        <v>3159</v>
      </c>
      <c r="K435" s="16"/>
      <c r="L435" s="16"/>
      <c r="M435" s="176">
        <v>43435</v>
      </c>
      <c r="N435" s="176"/>
      <c r="O435" s="176">
        <v>43556</v>
      </c>
      <c r="P435" s="12">
        <v>12</v>
      </c>
      <c r="Q435" s="7" t="s">
        <v>108</v>
      </c>
      <c r="R435" s="18">
        <v>640</v>
      </c>
      <c r="S435" s="5" t="s">
        <v>66</v>
      </c>
      <c r="T435" s="12" t="s">
        <v>54</v>
      </c>
      <c r="U435" s="4"/>
      <c r="V435" s="4"/>
      <c r="W435" s="5" t="s">
        <v>3160</v>
      </c>
      <c r="X435" s="1335" t="s">
        <v>90</v>
      </c>
      <c r="Y435" s="5" t="s">
        <v>457</v>
      </c>
      <c r="Z435" s="5"/>
      <c r="AA435" s="12"/>
      <c r="AB435" s="193">
        <v>43503</v>
      </c>
      <c r="AC435" s="78" t="s">
        <v>3161</v>
      </c>
      <c r="AD435" s="4"/>
      <c r="AE435" s="38"/>
      <c r="AF435" s="321"/>
    </row>
    <row r="436" spans="1:32" s="321" customFormat="1" ht="43.2">
      <c r="A436" s="888"/>
      <c r="B436" s="1" t="s">
        <v>28</v>
      </c>
      <c r="C436" s="4" t="s">
        <v>3162</v>
      </c>
      <c r="D436" s="8" t="s">
        <v>29</v>
      </c>
      <c r="E436" s="8"/>
      <c r="F436" s="8"/>
      <c r="G436" s="8"/>
      <c r="H436" s="5" t="s">
        <v>876</v>
      </c>
      <c r="I436" s="5" t="s">
        <v>34</v>
      </c>
      <c r="J436" s="16" t="s">
        <v>877</v>
      </c>
      <c r="K436" s="8"/>
      <c r="L436" s="8"/>
      <c r="M436" s="193">
        <v>43435</v>
      </c>
      <c r="N436" s="193"/>
      <c r="O436" s="193">
        <v>43556</v>
      </c>
      <c r="P436" s="5">
        <v>36</v>
      </c>
      <c r="Q436" s="5">
        <v>36</v>
      </c>
      <c r="R436" s="18">
        <v>39931</v>
      </c>
      <c r="S436" s="5" t="s">
        <v>217</v>
      </c>
      <c r="T436" s="11" t="s">
        <v>54</v>
      </c>
      <c r="U436" s="4"/>
      <c r="V436" s="4"/>
      <c r="W436" s="5" t="s">
        <v>878</v>
      </c>
      <c r="X436" s="1335" t="s">
        <v>2788</v>
      </c>
      <c r="Y436" s="5" t="s">
        <v>457</v>
      </c>
      <c r="Z436" s="5"/>
      <c r="AA436" s="5"/>
      <c r="AB436" s="193">
        <v>43552</v>
      </c>
      <c r="AC436" s="35" t="s">
        <v>3163</v>
      </c>
      <c r="AD436" s="4"/>
      <c r="AE436" s="39"/>
    </row>
    <row r="437" spans="1:32" s="321" customFormat="1" ht="43.2">
      <c r="A437" s="888"/>
      <c r="B437" s="1" t="s">
        <v>28</v>
      </c>
      <c r="C437" s="4"/>
      <c r="D437" s="8" t="s">
        <v>29</v>
      </c>
      <c r="E437" s="8"/>
      <c r="F437" s="8"/>
      <c r="G437" s="8"/>
      <c r="H437" s="5" t="s">
        <v>70</v>
      </c>
      <c r="I437" s="5" t="s">
        <v>34</v>
      </c>
      <c r="J437" s="16" t="s">
        <v>412</v>
      </c>
      <c r="K437" s="8"/>
      <c r="L437" s="8"/>
      <c r="M437" s="193">
        <v>43466</v>
      </c>
      <c r="N437" s="193"/>
      <c r="O437" s="193">
        <v>43556</v>
      </c>
      <c r="P437" s="5">
        <v>48</v>
      </c>
      <c r="Q437" s="7" t="s">
        <v>191</v>
      </c>
      <c r="R437" s="18">
        <v>116160</v>
      </c>
      <c r="S437" s="5" t="s">
        <v>109</v>
      </c>
      <c r="T437" s="11" t="s">
        <v>110</v>
      </c>
      <c r="U437" s="4"/>
      <c r="V437" s="4"/>
      <c r="W437" s="5" t="s">
        <v>286</v>
      </c>
      <c r="X437" s="5" t="s">
        <v>1091</v>
      </c>
      <c r="Y437" s="5" t="s">
        <v>457</v>
      </c>
      <c r="Z437" s="5"/>
      <c r="AA437" s="5"/>
      <c r="AB437" s="193">
        <v>43578</v>
      </c>
      <c r="AC437" s="8" t="s">
        <v>2926</v>
      </c>
      <c r="AD437" s="4"/>
      <c r="AE437" s="39">
        <v>29040</v>
      </c>
      <c r="AF437" s="317"/>
    </row>
    <row r="438" spans="1:32" s="321" customFormat="1" ht="43.2">
      <c r="A438" s="888"/>
      <c r="B438" s="1" t="s">
        <v>28</v>
      </c>
      <c r="C438" s="4" t="s">
        <v>3164</v>
      </c>
      <c r="D438" s="8" t="s">
        <v>60</v>
      </c>
      <c r="E438" s="8"/>
      <c r="F438" s="8"/>
      <c r="G438" s="8"/>
      <c r="H438" s="5" t="s">
        <v>3165</v>
      </c>
      <c r="I438" s="12" t="s">
        <v>34</v>
      </c>
      <c r="J438" s="16" t="s">
        <v>3166</v>
      </c>
      <c r="K438" s="16"/>
      <c r="L438" s="16"/>
      <c r="M438" s="14">
        <v>43474</v>
      </c>
      <c r="N438" s="14"/>
      <c r="O438" s="176">
        <v>43556</v>
      </c>
      <c r="P438" s="12">
        <v>12</v>
      </c>
      <c r="Q438" s="12">
        <v>12</v>
      </c>
      <c r="R438" s="18">
        <v>125000</v>
      </c>
      <c r="S438" s="5" t="s">
        <v>35</v>
      </c>
      <c r="T438" s="12" t="s">
        <v>54</v>
      </c>
      <c r="U438" s="4"/>
      <c r="V438" s="4"/>
      <c r="W438" s="12" t="s">
        <v>1757</v>
      </c>
      <c r="X438" s="5" t="s">
        <v>1053</v>
      </c>
      <c r="Y438" s="5" t="s">
        <v>457</v>
      </c>
      <c r="Z438" s="5"/>
      <c r="AA438" s="5"/>
      <c r="AB438" s="193">
        <v>43503</v>
      </c>
      <c r="AC438" s="8" t="s">
        <v>3167</v>
      </c>
      <c r="AD438" s="4"/>
      <c r="AE438" s="38"/>
      <c r="AF438" s="322"/>
    </row>
    <row r="439" spans="1:32" ht="57.6">
      <c r="A439" s="888"/>
      <c r="B439" s="1" t="s">
        <v>28</v>
      </c>
      <c r="C439" s="4" t="s">
        <v>3168</v>
      </c>
      <c r="D439" s="8" t="s">
        <v>29</v>
      </c>
      <c r="E439" s="8"/>
      <c r="F439" s="8"/>
      <c r="G439" s="8"/>
      <c r="H439" s="5" t="s">
        <v>2945</v>
      </c>
      <c r="I439" s="5" t="s">
        <v>34</v>
      </c>
      <c r="J439" s="16" t="s">
        <v>3169</v>
      </c>
      <c r="K439" s="8"/>
      <c r="L439" s="8"/>
      <c r="M439" s="176">
        <v>43509</v>
      </c>
      <c r="N439" s="176"/>
      <c r="O439" s="176">
        <v>43556</v>
      </c>
      <c r="P439" s="12">
        <v>24</v>
      </c>
      <c r="Q439" s="7" t="s">
        <v>366</v>
      </c>
      <c r="R439" s="39">
        <v>23137.5</v>
      </c>
      <c r="S439" s="39" t="s">
        <v>909</v>
      </c>
      <c r="T439" s="39" t="s">
        <v>54</v>
      </c>
      <c r="U439" s="4"/>
      <c r="V439" s="4"/>
      <c r="W439" s="5" t="s">
        <v>3170</v>
      </c>
      <c r="X439" s="5" t="s">
        <v>94</v>
      </c>
      <c r="Y439" s="5" t="s">
        <v>457</v>
      </c>
      <c r="Z439" s="5"/>
      <c r="AA439" s="114"/>
      <c r="AB439" s="193">
        <v>43579</v>
      </c>
      <c r="AC439" s="8" t="s">
        <v>3171</v>
      </c>
      <c r="AD439" s="4"/>
      <c r="AE439" s="39" t="s">
        <v>3172</v>
      </c>
      <c r="AF439" s="321"/>
    </row>
    <row r="440" spans="1:32" s="321" customFormat="1" ht="28.8">
      <c r="A440" s="888"/>
      <c r="B440" s="4" t="s">
        <v>28</v>
      </c>
      <c r="C440" s="4" t="s">
        <v>3173</v>
      </c>
      <c r="D440" s="8" t="s">
        <v>29</v>
      </c>
      <c r="E440" s="8"/>
      <c r="F440" s="8"/>
      <c r="G440" s="8"/>
      <c r="H440" s="5" t="s">
        <v>3174</v>
      </c>
      <c r="I440" s="5" t="s">
        <v>64</v>
      </c>
      <c r="J440" s="16" t="s">
        <v>3175</v>
      </c>
      <c r="K440" s="16"/>
      <c r="L440" s="16"/>
      <c r="M440" s="176">
        <v>43510</v>
      </c>
      <c r="N440" s="176"/>
      <c r="O440" s="176">
        <v>43556</v>
      </c>
      <c r="P440" s="12">
        <v>48</v>
      </c>
      <c r="Q440" s="12" t="s">
        <v>3176</v>
      </c>
      <c r="R440" s="18">
        <v>1766000</v>
      </c>
      <c r="S440" s="1335" t="s">
        <v>98</v>
      </c>
      <c r="T440" s="12" t="s">
        <v>54</v>
      </c>
      <c r="U440" s="4"/>
      <c r="V440" s="4"/>
      <c r="W440" s="5" t="s">
        <v>2584</v>
      </c>
      <c r="X440" s="5" t="s">
        <v>150</v>
      </c>
      <c r="Y440" s="5" t="s">
        <v>457</v>
      </c>
      <c r="Z440" s="5"/>
      <c r="AA440" s="5"/>
      <c r="AB440" s="193">
        <v>43622</v>
      </c>
      <c r="AC440" s="100" t="s">
        <v>3177</v>
      </c>
      <c r="AD440" s="4"/>
      <c r="AE440" s="38"/>
    </row>
    <row r="441" spans="1:32" s="321" customFormat="1" ht="28.8">
      <c r="A441" s="888"/>
      <c r="B441" s="4" t="s">
        <v>28</v>
      </c>
      <c r="C441" s="4" t="s">
        <v>35</v>
      </c>
      <c r="D441" s="6" t="s">
        <v>29</v>
      </c>
      <c r="E441" s="6"/>
      <c r="F441" s="6"/>
      <c r="G441" s="6"/>
      <c r="H441" s="5" t="s">
        <v>70</v>
      </c>
      <c r="I441" s="5" t="s">
        <v>34</v>
      </c>
      <c r="J441" s="16" t="s">
        <v>3178</v>
      </c>
      <c r="K441" s="16"/>
      <c r="L441" s="16"/>
      <c r="M441" s="176">
        <v>43607</v>
      </c>
      <c r="N441" s="176"/>
      <c r="O441" s="176">
        <v>43556</v>
      </c>
      <c r="P441" s="12">
        <v>24</v>
      </c>
      <c r="Q441" s="12">
        <v>24</v>
      </c>
      <c r="R441" s="18">
        <v>11548.36</v>
      </c>
      <c r="S441" s="5" t="s">
        <v>909</v>
      </c>
      <c r="T441" s="12" t="s">
        <v>54</v>
      </c>
      <c r="U441" s="4"/>
      <c r="V441" s="4"/>
      <c r="W441" s="5" t="s">
        <v>3179</v>
      </c>
      <c r="X441" s="43" t="s">
        <v>2788</v>
      </c>
      <c r="Y441" s="5" t="s">
        <v>39</v>
      </c>
      <c r="Z441" s="5"/>
      <c r="AA441" s="12"/>
      <c r="AB441" s="193">
        <v>43686</v>
      </c>
      <c r="AC441" s="116" t="s">
        <v>3180</v>
      </c>
      <c r="AD441" s="114"/>
      <c r="AE441" s="38">
        <v>5774.18</v>
      </c>
    </row>
    <row r="442" spans="1:32" s="321" customFormat="1" ht="403.35" customHeight="1">
      <c r="A442" s="852"/>
      <c r="B442" s="520" t="s">
        <v>48</v>
      </c>
      <c r="C442" s="465" t="s">
        <v>1639</v>
      </c>
      <c r="D442" s="466" t="s">
        <v>60</v>
      </c>
      <c r="E442" s="466"/>
      <c r="F442" s="466"/>
      <c r="G442" s="466"/>
      <c r="H442" s="466" t="s">
        <v>127</v>
      </c>
      <c r="I442" s="474" t="s">
        <v>64</v>
      </c>
      <c r="J442" s="1024" t="s">
        <v>1640</v>
      </c>
      <c r="K442" s="467"/>
      <c r="L442" s="540">
        <v>43191</v>
      </c>
      <c r="M442" s="540"/>
      <c r="N442" s="540"/>
      <c r="O442" s="540">
        <v>43556</v>
      </c>
      <c r="P442" s="471">
        <v>12</v>
      </c>
      <c r="Q442" s="471">
        <v>12</v>
      </c>
      <c r="R442" s="542">
        <f>10800000/4</f>
        <v>2700000</v>
      </c>
      <c r="S442" s="478" t="s">
        <v>98</v>
      </c>
      <c r="T442" s="470" t="s">
        <v>41</v>
      </c>
      <c r="U442" s="470"/>
      <c r="V442" s="470"/>
      <c r="W442" s="474" t="s">
        <v>432</v>
      </c>
      <c r="X442" s="114"/>
      <c r="Y442" s="114"/>
      <c r="Z442" s="114"/>
      <c r="AA442" s="114"/>
      <c r="AB442" s="114"/>
      <c r="AC442" s="114"/>
      <c r="AD442" s="114"/>
      <c r="AE442" s="114"/>
    </row>
    <row r="443" spans="1:32" s="321" customFormat="1" ht="52.8">
      <c r="A443" s="852"/>
      <c r="B443" s="520" t="s">
        <v>48</v>
      </c>
      <c r="C443" s="465" t="s">
        <v>1641</v>
      </c>
      <c r="D443" s="466" t="s">
        <v>60</v>
      </c>
      <c r="E443" s="466"/>
      <c r="F443" s="466"/>
      <c r="G443" s="466"/>
      <c r="H443" s="466" t="s">
        <v>127</v>
      </c>
      <c r="I443" s="474" t="s">
        <v>64</v>
      </c>
      <c r="J443" s="1024" t="s">
        <v>1642</v>
      </c>
      <c r="K443" s="467"/>
      <c r="L443" s="540">
        <v>43191</v>
      </c>
      <c r="M443" s="540"/>
      <c r="N443" s="540"/>
      <c r="O443" s="540">
        <v>43556</v>
      </c>
      <c r="P443" s="471">
        <v>12</v>
      </c>
      <c r="Q443" s="471">
        <v>12</v>
      </c>
      <c r="R443" s="542">
        <f>7500000/4</f>
        <v>1875000</v>
      </c>
      <c r="S443" s="478" t="s">
        <v>98</v>
      </c>
      <c r="T443" s="470" t="s">
        <v>41</v>
      </c>
      <c r="U443" s="815"/>
      <c r="V443" s="815"/>
      <c r="W443" s="474"/>
      <c r="X443" s="114"/>
      <c r="Y443" s="114"/>
      <c r="Z443" s="114"/>
      <c r="AA443" s="114"/>
      <c r="AB443" s="114"/>
      <c r="AC443" s="114"/>
      <c r="AD443" s="114"/>
      <c r="AE443" s="114"/>
      <c r="AF443" s="189"/>
    </row>
    <row r="444" spans="1:32" s="321" customFormat="1" ht="52.8">
      <c r="A444" s="852"/>
      <c r="B444" s="520" t="s">
        <v>48</v>
      </c>
      <c r="C444" s="465"/>
      <c r="D444" s="466" t="s">
        <v>60</v>
      </c>
      <c r="E444" s="466"/>
      <c r="F444" s="466"/>
      <c r="G444" s="466"/>
      <c r="H444" s="466" t="s">
        <v>127</v>
      </c>
      <c r="I444" s="474" t="s">
        <v>64</v>
      </c>
      <c r="J444" s="1024" t="s">
        <v>1480</v>
      </c>
      <c r="K444" s="467"/>
      <c r="L444" s="540">
        <v>43191</v>
      </c>
      <c r="M444" s="540"/>
      <c r="N444" s="540"/>
      <c r="O444" s="540">
        <v>43556</v>
      </c>
      <c r="P444" s="471">
        <v>12</v>
      </c>
      <c r="Q444" s="471">
        <v>12</v>
      </c>
      <c r="R444" s="542">
        <v>2257776</v>
      </c>
      <c r="S444" s="478" t="s">
        <v>125</v>
      </c>
      <c r="T444" s="470" t="s">
        <v>824</v>
      </c>
      <c r="U444" s="470"/>
      <c r="V444" s="470"/>
      <c r="W444" s="474" t="s">
        <v>432</v>
      </c>
      <c r="X444" s="114"/>
      <c r="Y444" s="114"/>
      <c r="Z444" s="114"/>
      <c r="AA444" s="114"/>
      <c r="AB444" s="114"/>
      <c r="AC444" s="114"/>
      <c r="AD444" s="114"/>
      <c r="AE444" s="114"/>
      <c r="AF444"/>
    </row>
    <row r="445" spans="1:32" ht="92.4">
      <c r="A445" s="852"/>
      <c r="B445" s="520" t="s">
        <v>48</v>
      </c>
      <c r="C445" s="465" t="s">
        <v>1796</v>
      </c>
      <c r="D445" s="466" t="s">
        <v>29</v>
      </c>
      <c r="E445" s="466"/>
      <c r="F445" s="466"/>
      <c r="G445" s="466"/>
      <c r="H445" s="466" t="s">
        <v>165</v>
      </c>
      <c r="I445" s="474" t="s">
        <v>34</v>
      </c>
      <c r="J445" s="1024" t="s">
        <v>795</v>
      </c>
      <c r="K445" s="467"/>
      <c r="L445" s="485">
        <v>42767</v>
      </c>
      <c r="M445" s="485"/>
      <c r="N445" s="485"/>
      <c r="O445" s="485">
        <v>43556</v>
      </c>
      <c r="P445" s="471">
        <v>48</v>
      </c>
      <c r="Q445" s="471">
        <v>48</v>
      </c>
      <c r="R445" s="542">
        <v>5600000</v>
      </c>
      <c r="S445" s="478" t="s">
        <v>158</v>
      </c>
      <c r="T445" s="470" t="s">
        <v>41</v>
      </c>
      <c r="U445" s="470"/>
      <c r="V445" s="470"/>
      <c r="W445" s="474" t="s">
        <v>756</v>
      </c>
      <c r="X445" s="114"/>
      <c r="Y445" s="114"/>
      <c r="Z445" s="114"/>
      <c r="AA445" s="114"/>
      <c r="AB445" s="114"/>
      <c r="AC445" s="114"/>
      <c r="AD445" s="114"/>
      <c r="AE445" s="114"/>
    </row>
    <row r="446" spans="1:32" s="317" customFormat="1" ht="244.5" customHeight="1">
      <c r="A446" s="852"/>
      <c r="B446" s="520" t="s">
        <v>48</v>
      </c>
      <c r="C446" s="465" t="s">
        <v>1918</v>
      </c>
      <c r="D446" s="466" t="s">
        <v>82</v>
      </c>
      <c r="E446" s="466"/>
      <c r="F446" s="466"/>
      <c r="G446" s="466"/>
      <c r="H446" s="466" t="s">
        <v>49</v>
      </c>
      <c r="I446" s="474" t="s">
        <v>34</v>
      </c>
      <c r="J446" s="1024" t="s">
        <v>1919</v>
      </c>
      <c r="K446" s="467"/>
      <c r="L446" s="485">
        <v>43479</v>
      </c>
      <c r="M446" s="485"/>
      <c r="N446" s="485"/>
      <c r="O446" s="485">
        <v>43556</v>
      </c>
      <c r="P446" s="471">
        <v>4</v>
      </c>
      <c r="Q446" s="471">
        <v>4</v>
      </c>
      <c r="R446" s="542">
        <v>136000</v>
      </c>
      <c r="S446" s="478" t="s">
        <v>1663</v>
      </c>
      <c r="T446" s="470" t="s">
        <v>36</v>
      </c>
      <c r="U446" s="815"/>
      <c r="V446" s="815"/>
      <c r="W446" s="488" t="s">
        <v>1467</v>
      </c>
      <c r="X446" s="114"/>
      <c r="Y446" s="114"/>
      <c r="Z446" s="114"/>
      <c r="AA446" s="114"/>
      <c r="AB446" s="114"/>
      <c r="AC446" s="114"/>
      <c r="AD446" s="114"/>
      <c r="AE446" s="114"/>
      <c r="AF446"/>
    </row>
    <row r="447" spans="1:32" s="321" customFormat="1" ht="96.6" customHeight="1">
      <c r="A447" s="852"/>
      <c r="B447" s="520" t="s">
        <v>48</v>
      </c>
      <c r="C447" s="465" t="s">
        <v>1971</v>
      </c>
      <c r="D447" s="466" t="s">
        <v>82</v>
      </c>
      <c r="E447" s="466"/>
      <c r="F447" s="466"/>
      <c r="G447" s="466"/>
      <c r="H447" s="466" t="s">
        <v>49</v>
      </c>
      <c r="I447" s="465" t="s">
        <v>34</v>
      </c>
      <c r="J447" s="1025" t="s">
        <v>1972</v>
      </c>
      <c r="K447" s="488"/>
      <c r="L447" s="560">
        <v>43479</v>
      </c>
      <c r="M447" s="560"/>
      <c r="N447" s="560"/>
      <c r="O447" s="560">
        <v>43556</v>
      </c>
      <c r="P447" s="490">
        <v>2</v>
      </c>
      <c r="Q447" s="490">
        <v>2</v>
      </c>
      <c r="R447" s="542">
        <v>57000</v>
      </c>
      <c r="S447" s="488" t="s">
        <v>109</v>
      </c>
      <c r="T447" s="558" t="s">
        <v>36</v>
      </c>
      <c r="U447" s="558"/>
      <c r="V447" s="558"/>
      <c r="W447" s="488" t="s">
        <v>1467</v>
      </c>
      <c r="X447" s="114"/>
      <c r="Y447" s="114"/>
      <c r="Z447" s="114"/>
      <c r="AA447" s="114"/>
      <c r="AB447" s="114"/>
      <c r="AC447" s="114"/>
      <c r="AD447" s="114"/>
      <c r="AE447" s="114"/>
    </row>
    <row r="448" spans="1:32" s="321" customFormat="1" ht="409.6" customHeight="1">
      <c r="A448" s="852"/>
      <c r="B448" s="520" t="s">
        <v>48</v>
      </c>
      <c r="C448" s="465" t="s">
        <v>1973</v>
      </c>
      <c r="D448" s="466" t="s">
        <v>82</v>
      </c>
      <c r="E448" s="466"/>
      <c r="F448" s="466"/>
      <c r="G448" s="466"/>
      <c r="H448" s="466" t="s">
        <v>49</v>
      </c>
      <c r="I448" s="474" t="s">
        <v>34</v>
      </c>
      <c r="J448" s="1024" t="s">
        <v>1974</v>
      </c>
      <c r="K448" s="467"/>
      <c r="L448" s="485">
        <v>43467</v>
      </c>
      <c r="M448" s="485"/>
      <c r="N448" s="485"/>
      <c r="O448" s="485">
        <v>43556</v>
      </c>
      <c r="P448" s="471">
        <v>4</v>
      </c>
      <c r="Q448" s="471" t="s">
        <v>125</v>
      </c>
      <c r="R448" s="542">
        <v>357000</v>
      </c>
      <c r="S448" s="478" t="s">
        <v>1663</v>
      </c>
      <c r="T448" s="470" t="s">
        <v>36</v>
      </c>
      <c r="U448" s="470"/>
      <c r="V448" s="470"/>
      <c r="W448" s="488" t="s">
        <v>1467</v>
      </c>
      <c r="X448" s="114"/>
      <c r="Y448" s="114"/>
      <c r="Z448" s="114"/>
      <c r="AA448" s="114"/>
      <c r="AB448" s="114"/>
      <c r="AC448" s="114"/>
      <c r="AD448" s="114"/>
      <c r="AE448" s="114"/>
    </row>
    <row r="449" spans="1:32" s="321" customFormat="1" ht="158.4" customHeight="1">
      <c r="A449" s="852"/>
      <c r="B449" s="520" t="s">
        <v>48</v>
      </c>
      <c r="C449" s="465" t="s">
        <v>125</v>
      </c>
      <c r="D449" s="466" t="s">
        <v>60</v>
      </c>
      <c r="E449" s="466"/>
      <c r="F449" s="466"/>
      <c r="G449" s="466"/>
      <c r="H449" s="466" t="s">
        <v>127</v>
      </c>
      <c r="I449" s="465" t="s">
        <v>64</v>
      </c>
      <c r="J449" s="1025" t="s">
        <v>2101</v>
      </c>
      <c r="K449" s="488"/>
      <c r="L449" s="489">
        <v>43467</v>
      </c>
      <c r="M449" s="489"/>
      <c r="N449" s="489"/>
      <c r="O449" s="489">
        <v>43556</v>
      </c>
      <c r="P449" s="490">
        <v>120</v>
      </c>
      <c r="Q449" s="490" t="s">
        <v>2102</v>
      </c>
      <c r="R449" s="542">
        <f>2*243938886.64</f>
        <v>487877773.27999997</v>
      </c>
      <c r="S449" s="465" t="s">
        <v>98</v>
      </c>
      <c r="T449" s="470" t="s">
        <v>144</v>
      </c>
      <c r="U449" s="470" t="s">
        <v>125</v>
      </c>
      <c r="V449" s="470"/>
      <c r="W449" s="465" t="s">
        <v>432</v>
      </c>
      <c r="X449" s="114"/>
      <c r="Y449" s="114"/>
      <c r="Z449" s="114"/>
      <c r="AA449" s="114"/>
      <c r="AB449" s="114"/>
      <c r="AC449" s="114"/>
      <c r="AD449" s="114"/>
      <c r="AE449" s="114"/>
    </row>
    <row r="450" spans="1:32" s="321" customFormat="1" ht="15.6">
      <c r="A450" s="1061">
        <v>44974</v>
      </c>
      <c r="B450" s="1066" t="s">
        <v>210</v>
      </c>
      <c r="C450" s="1072" t="s">
        <v>190</v>
      </c>
      <c r="D450" s="1072" t="s">
        <v>209</v>
      </c>
      <c r="E450" s="1066" t="s">
        <v>210</v>
      </c>
      <c r="F450" s="1066" t="s">
        <v>190</v>
      </c>
      <c r="G450" s="1066" t="s">
        <v>190</v>
      </c>
      <c r="H450" s="1066" t="s">
        <v>190</v>
      </c>
      <c r="I450" s="1066" t="s">
        <v>190</v>
      </c>
      <c r="J450" s="1095" t="s">
        <v>3181</v>
      </c>
      <c r="K450" s="1072" t="s">
        <v>1225</v>
      </c>
      <c r="L450" s="1066" t="s">
        <v>190</v>
      </c>
      <c r="M450" s="1066" t="s">
        <v>190</v>
      </c>
      <c r="N450" s="1066" t="s">
        <v>190</v>
      </c>
      <c r="O450" s="1142">
        <v>43556</v>
      </c>
      <c r="P450" s="1142">
        <v>45016</v>
      </c>
      <c r="Q450" s="1072" t="s">
        <v>100</v>
      </c>
      <c r="R450" s="1176">
        <v>128000</v>
      </c>
      <c r="S450" s="1072" t="s">
        <v>203</v>
      </c>
      <c r="T450" s="1066" t="s">
        <v>190</v>
      </c>
      <c r="U450" s="1066" t="s">
        <v>190</v>
      </c>
      <c r="V450" s="1066"/>
      <c r="W450" s="1072" t="s">
        <v>293</v>
      </c>
      <c r="X450" s="1072" t="s">
        <v>1346</v>
      </c>
      <c r="Y450" s="1072" t="s">
        <v>1266</v>
      </c>
      <c r="Z450" s="1066" t="s">
        <v>190</v>
      </c>
      <c r="AA450" s="1066" t="s">
        <v>190</v>
      </c>
      <c r="AB450" s="1066" t="s">
        <v>190</v>
      </c>
      <c r="AC450" s="1095" t="s">
        <v>3182</v>
      </c>
      <c r="AD450" s="1066" t="s">
        <v>190</v>
      </c>
      <c r="AE450" s="1176">
        <v>128000</v>
      </c>
      <c r="AF450"/>
    </row>
    <row r="451" spans="1:32" ht="28.8">
      <c r="A451" s="888"/>
      <c r="B451" s="4" t="s">
        <v>28</v>
      </c>
      <c r="C451" s="4" t="s">
        <v>3183</v>
      </c>
      <c r="D451" s="8" t="s">
        <v>60</v>
      </c>
      <c r="E451" s="8"/>
      <c r="F451" s="8"/>
      <c r="G451" s="8"/>
      <c r="H451" s="5" t="s">
        <v>2602</v>
      </c>
      <c r="I451" s="5" t="s">
        <v>64</v>
      </c>
      <c r="J451" s="16" t="s">
        <v>2603</v>
      </c>
      <c r="K451" s="16"/>
      <c r="L451" s="16"/>
      <c r="M451" s="176">
        <v>43116</v>
      </c>
      <c r="N451" s="176"/>
      <c r="O451" s="176">
        <v>43558</v>
      </c>
      <c r="P451" s="12">
        <v>48</v>
      </c>
      <c r="Q451" s="7" t="s">
        <v>3184</v>
      </c>
      <c r="R451" s="18">
        <v>89000</v>
      </c>
      <c r="S451" s="5" t="s">
        <v>163</v>
      </c>
      <c r="T451" s="12" t="s">
        <v>54</v>
      </c>
      <c r="U451" s="4"/>
      <c r="V451" s="4"/>
      <c r="W451" s="5" t="s">
        <v>2605</v>
      </c>
      <c r="X451" s="12" t="s">
        <v>254</v>
      </c>
      <c r="Y451" s="5" t="s">
        <v>457</v>
      </c>
      <c r="Z451" s="5"/>
      <c r="AA451" s="5"/>
      <c r="AB451" s="7"/>
      <c r="AC451" s="8" t="s">
        <v>3185</v>
      </c>
      <c r="AD451" s="4"/>
      <c r="AE451" s="17"/>
      <c r="AF451" s="321"/>
    </row>
    <row r="452" spans="1:32" ht="55.5" customHeight="1">
      <c r="A452" s="888"/>
      <c r="B452" s="4" t="s">
        <v>28</v>
      </c>
      <c r="C452" s="4"/>
      <c r="D452" s="8" t="s">
        <v>29</v>
      </c>
      <c r="E452" s="8"/>
      <c r="F452" s="8"/>
      <c r="G452" s="8"/>
      <c r="H452" s="5" t="s">
        <v>70</v>
      </c>
      <c r="I452" s="12" t="s">
        <v>34</v>
      </c>
      <c r="J452" s="16" t="s">
        <v>3186</v>
      </c>
      <c r="K452" s="16"/>
      <c r="L452" s="16"/>
      <c r="M452" s="176">
        <v>43374</v>
      </c>
      <c r="N452" s="176"/>
      <c r="O452" s="176">
        <v>43562</v>
      </c>
      <c r="P452" s="12">
        <v>48</v>
      </c>
      <c r="Q452" s="7" t="s">
        <v>191</v>
      </c>
      <c r="R452" s="18">
        <v>96000</v>
      </c>
      <c r="S452" s="5" t="s">
        <v>1163</v>
      </c>
      <c r="T452" s="12" t="s">
        <v>54</v>
      </c>
      <c r="U452" s="4"/>
      <c r="V452" s="4"/>
      <c r="W452" s="12" t="s">
        <v>3187</v>
      </c>
      <c r="X452" s="5" t="s">
        <v>1097</v>
      </c>
      <c r="Y452" s="5" t="s">
        <v>457</v>
      </c>
      <c r="Z452" s="5"/>
      <c r="AA452" s="5"/>
      <c r="AB452" s="193">
        <v>43552</v>
      </c>
      <c r="AC452" s="35" t="s">
        <v>3188</v>
      </c>
      <c r="AD452" s="4"/>
      <c r="AE452" s="39">
        <v>24000</v>
      </c>
    </row>
    <row r="453" spans="1:32" ht="52.8">
      <c r="A453" s="852"/>
      <c r="B453" s="520" t="s">
        <v>48</v>
      </c>
      <c r="C453" s="465" t="s">
        <v>1958</v>
      </c>
      <c r="D453" s="466" t="s">
        <v>60</v>
      </c>
      <c r="E453" s="466"/>
      <c r="F453" s="466"/>
      <c r="G453" s="466"/>
      <c r="H453" s="466" t="s">
        <v>127</v>
      </c>
      <c r="I453" s="474" t="s">
        <v>34</v>
      </c>
      <c r="J453" s="1024" t="s">
        <v>1959</v>
      </c>
      <c r="K453" s="467"/>
      <c r="L453" s="485">
        <v>43633</v>
      </c>
      <c r="M453" s="485"/>
      <c r="N453" s="485"/>
      <c r="O453" s="485">
        <v>43562</v>
      </c>
      <c r="P453" s="471">
        <v>1</v>
      </c>
      <c r="Q453" s="471">
        <v>1</v>
      </c>
      <c r="R453" s="542" t="s">
        <v>125</v>
      </c>
      <c r="S453" s="478" t="s">
        <v>1663</v>
      </c>
      <c r="T453" s="470" t="s">
        <v>125</v>
      </c>
      <c r="U453" s="470"/>
      <c r="V453" s="470"/>
      <c r="W453" s="488" t="s">
        <v>1133</v>
      </c>
      <c r="X453" s="114"/>
      <c r="Y453" s="114"/>
      <c r="Z453" s="114"/>
      <c r="AA453" s="114"/>
      <c r="AB453" s="114"/>
      <c r="AC453" s="114"/>
      <c r="AD453" s="114"/>
      <c r="AE453" s="114"/>
      <c r="AF453" s="321"/>
    </row>
    <row r="454" spans="1:32" ht="86.4">
      <c r="A454" s="888"/>
      <c r="B454" s="4" t="s">
        <v>28</v>
      </c>
      <c r="C454" s="4" t="s">
        <v>1262</v>
      </c>
      <c r="D454" s="8" t="s">
        <v>29</v>
      </c>
      <c r="E454" s="8"/>
      <c r="F454" s="8"/>
      <c r="G454" s="8"/>
      <c r="H454" s="5" t="s">
        <v>70</v>
      </c>
      <c r="I454" s="5" t="s">
        <v>34</v>
      </c>
      <c r="J454" s="16" t="s">
        <v>2831</v>
      </c>
      <c r="K454" s="16"/>
      <c r="L454" s="16"/>
      <c r="M454" s="176">
        <v>43435</v>
      </c>
      <c r="N454" s="176"/>
      <c r="O454" s="176">
        <v>43565</v>
      </c>
      <c r="P454" s="12">
        <v>84</v>
      </c>
      <c r="Q454" s="7" t="s">
        <v>3189</v>
      </c>
      <c r="R454" s="18">
        <v>2500</v>
      </c>
      <c r="S454" s="5" t="s">
        <v>66</v>
      </c>
      <c r="T454" s="12" t="s">
        <v>54</v>
      </c>
      <c r="U454" s="4"/>
      <c r="V454" s="4"/>
      <c r="W454" s="12" t="s">
        <v>2622</v>
      </c>
      <c r="X454" s="1335" t="s">
        <v>90</v>
      </c>
      <c r="Y454" s="5" t="s">
        <v>457</v>
      </c>
      <c r="Z454" s="5"/>
      <c r="AA454" s="5"/>
      <c r="AB454" s="193">
        <v>43482</v>
      </c>
      <c r="AC454" s="78" t="s">
        <v>3190</v>
      </c>
      <c r="AD454" s="4"/>
      <c r="AE454" s="38">
        <v>2512.09</v>
      </c>
      <c r="AF454" s="321"/>
    </row>
    <row r="455" spans="1:32" ht="28.8">
      <c r="A455" s="888"/>
      <c r="B455" s="4" t="s">
        <v>28</v>
      </c>
      <c r="C455" s="4" t="s">
        <v>3191</v>
      </c>
      <c r="D455" s="8" t="s">
        <v>29</v>
      </c>
      <c r="E455" s="8"/>
      <c r="F455" s="8"/>
      <c r="G455" s="8"/>
      <c r="H455" s="5" t="s">
        <v>2695</v>
      </c>
      <c r="I455" s="12" t="s">
        <v>34</v>
      </c>
      <c r="J455" s="105" t="s">
        <v>2614</v>
      </c>
      <c r="K455" s="105"/>
      <c r="L455" s="16"/>
      <c r="M455" s="176">
        <v>43344</v>
      </c>
      <c r="N455" s="176"/>
      <c r="O455" s="176">
        <v>43570</v>
      </c>
      <c r="P455" s="12">
        <v>12</v>
      </c>
      <c r="Q455" s="7" t="s">
        <v>108</v>
      </c>
      <c r="R455" s="18">
        <v>3819.9</v>
      </c>
      <c r="S455" s="5" t="s">
        <v>66</v>
      </c>
      <c r="T455" s="12" t="s">
        <v>54</v>
      </c>
      <c r="U455" s="4"/>
      <c r="V455" s="4"/>
      <c r="W455" s="12" t="s">
        <v>2616</v>
      </c>
      <c r="X455" s="5" t="s">
        <v>2788</v>
      </c>
      <c r="Y455" s="5" t="s">
        <v>457</v>
      </c>
      <c r="Z455" s="5"/>
      <c r="AA455" s="5"/>
      <c r="AB455" s="193">
        <v>43481</v>
      </c>
      <c r="AC455" s="8" t="s">
        <v>3192</v>
      </c>
      <c r="AD455" s="4"/>
      <c r="AE455" s="38">
        <v>3819.9</v>
      </c>
      <c r="AF455" s="321"/>
    </row>
    <row r="456" spans="1:32" ht="43.2">
      <c r="A456" s="888"/>
      <c r="B456" s="4" t="s">
        <v>28</v>
      </c>
      <c r="C456" s="4"/>
      <c r="D456" s="8" t="s">
        <v>60</v>
      </c>
      <c r="E456" s="8"/>
      <c r="F456" s="8"/>
      <c r="G456" s="8"/>
      <c r="H456" s="5" t="s">
        <v>3193</v>
      </c>
      <c r="I456" s="5" t="s">
        <v>34</v>
      </c>
      <c r="J456" s="16" t="s">
        <v>3194</v>
      </c>
      <c r="K456" s="16"/>
      <c r="L456" s="16"/>
      <c r="M456" s="193">
        <v>43538</v>
      </c>
      <c r="N456" s="193"/>
      <c r="O456" s="176">
        <v>43570</v>
      </c>
      <c r="P456" s="5">
        <v>3</v>
      </c>
      <c r="Q456" s="5" t="s">
        <v>3195</v>
      </c>
      <c r="R456" s="18">
        <v>32000</v>
      </c>
      <c r="S456" s="5" t="s">
        <v>217</v>
      </c>
      <c r="T456" s="5" t="s">
        <v>54</v>
      </c>
      <c r="U456" s="4"/>
      <c r="V456" s="4"/>
      <c r="W456" s="5" t="s">
        <v>1334</v>
      </c>
      <c r="X456" s="5" t="s">
        <v>219</v>
      </c>
      <c r="Y456" s="5" t="s">
        <v>457</v>
      </c>
      <c r="Z456" s="5"/>
      <c r="AA456" s="5"/>
      <c r="AB456" s="193">
        <v>43538</v>
      </c>
      <c r="AC456" s="8" t="s">
        <v>2951</v>
      </c>
      <c r="AD456" s="4"/>
      <c r="AE456" s="39">
        <v>32000</v>
      </c>
      <c r="AF456" s="321"/>
    </row>
    <row r="457" spans="1:32" ht="144" customHeight="1">
      <c r="A457" s="852"/>
      <c r="B457" s="1071" t="s">
        <v>48</v>
      </c>
      <c r="C457" s="465" t="s">
        <v>1783</v>
      </c>
      <c r="D457" s="495" t="s">
        <v>29</v>
      </c>
      <c r="E457" s="1087"/>
      <c r="F457" s="1087"/>
      <c r="G457" s="1087"/>
      <c r="H457" s="1087" t="s">
        <v>49</v>
      </c>
      <c r="I457" s="1094" t="s">
        <v>34</v>
      </c>
      <c r="J457" s="1045" t="s">
        <v>1784</v>
      </c>
      <c r="K457" s="567"/>
      <c r="L457" s="752">
        <v>43472</v>
      </c>
      <c r="M457" s="752"/>
      <c r="N457" s="752"/>
      <c r="O457" s="752">
        <v>43570</v>
      </c>
      <c r="P457" s="568">
        <v>4</v>
      </c>
      <c r="Q457" s="568">
        <v>4</v>
      </c>
      <c r="R457" s="569">
        <v>371000</v>
      </c>
      <c r="S457" s="793" t="s">
        <v>1663</v>
      </c>
      <c r="T457" s="497" t="s">
        <v>54</v>
      </c>
      <c r="U457" s="497"/>
      <c r="V457" s="497"/>
      <c r="W457" s="498" t="s">
        <v>1785</v>
      </c>
      <c r="X457" s="821"/>
      <c r="Y457" s="821"/>
      <c r="Z457" s="821"/>
      <c r="AA457" s="821"/>
      <c r="AB457" s="821"/>
      <c r="AC457" s="821"/>
      <c r="AD457" s="821"/>
      <c r="AE457" s="821"/>
    </row>
    <row r="458" spans="1:32" ht="39.6">
      <c r="A458" s="852"/>
      <c r="B458" s="1071" t="s">
        <v>48</v>
      </c>
      <c r="C458" s="465" t="s">
        <v>1872</v>
      </c>
      <c r="D458" s="495" t="s">
        <v>29</v>
      </c>
      <c r="E458" s="561"/>
      <c r="F458" s="561"/>
      <c r="G458" s="561"/>
      <c r="H458" s="1089" t="s">
        <v>49</v>
      </c>
      <c r="I458" s="1093" t="s">
        <v>34</v>
      </c>
      <c r="J458" s="1102" t="s">
        <v>1873</v>
      </c>
      <c r="K458" s="1115"/>
      <c r="L458" s="1125">
        <v>43497</v>
      </c>
      <c r="M458" s="1135"/>
      <c r="N458" s="1125"/>
      <c r="O458" s="1135">
        <v>43570</v>
      </c>
      <c r="P458" s="1156">
        <v>4</v>
      </c>
      <c r="Q458" s="1159">
        <v>4</v>
      </c>
      <c r="R458" s="781">
        <v>245000</v>
      </c>
      <c r="S458" s="610" t="s">
        <v>109</v>
      </c>
      <c r="T458" s="1146" t="s">
        <v>54</v>
      </c>
      <c r="U458" s="1146"/>
      <c r="V458" s="1321"/>
      <c r="W458" s="494" t="s">
        <v>1785</v>
      </c>
      <c r="X458" s="821"/>
      <c r="Y458" s="821"/>
      <c r="AA458" s="297"/>
      <c r="AB458" s="297"/>
      <c r="AC458" s="821"/>
      <c r="AD458" s="821"/>
      <c r="AE458" s="821"/>
    </row>
    <row r="459" spans="1:32" ht="39.6">
      <c r="A459" s="852"/>
      <c r="B459" s="718" t="s">
        <v>48</v>
      </c>
      <c r="C459" s="725" t="s">
        <v>1964</v>
      </c>
      <c r="D459" s="733" t="s">
        <v>82</v>
      </c>
      <c r="E459" s="733"/>
      <c r="F459" s="733"/>
      <c r="G459" s="733"/>
      <c r="H459" s="736" t="s">
        <v>49</v>
      </c>
      <c r="I459" s="741" t="s">
        <v>34</v>
      </c>
      <c r="J459" s="1028" t="s">
        <v>1965</v>
      </c>
      <c r="K459" s="748"/>
      <c r="L459" s="753">
        <v>43423</v>
      </c>
      <c r="M459" s="755"/>
      <c r="N459" s="757"/>
      <c r="O459" s="755">
        <v>43570</v>
      </c>
      <c r="P459" s="768">
        <v>2</v>
      </c>
      <c r="Q459" s="768">
        <v>2</v>
      </c>
      <c r="R459" s="787">
        <v>422000</v>
      </c>
      <c r="S459" s="800" t="s">
        <v>1663</v>
      </c>
      <c r="T459" s="814" t="s">
        <v>36</v>
      </c>
      <c r="U459" s="816"/>
      <c r="V459" s="816"/>
      <c r="W459" s="1216" t="s">
        <v>1467</v>
      </c>
      <c r="X459" s="825"/>
      <c r="Y459" s="299"/>
      <c r="Z459" s="827"/>
      <c r="AA459" s="827"/>
      <c r="AB459" s="297"/>
      <c r="AC459" s="856"/>
      <c r="AD459" s="856"/>
      <c r="AE459" s="856"/>
    </row>
    <row r="460" spans="1:32" ht="409.6" customHeight="1">
      <c r="A460" s="852"/>
      <c r="B460" s="1070" t="s">
        <v>48</v>
      </c>
      <c r="C460" s="725" t="s">
        <v>1966</v>
      </c>
      <c r="D460" s="1083" t="s">
        <v>82</v>
      </c>
      <c r="E460" s="1083"/>
      <c r="F460" s="1083"/>
      <c r="G460" s="1083"/>
      <c r="H460" s="736" t="s">
        <v>49</v>
      </c>
      <c r="I460" s="1092" t="s">
        <v>34</v>
      </c>
      <c r="J460" s="1100" t="s">
        <v>1967</v>
      </c>
      <c r="K460" s="1114"/>
      <c r="L460" s="1123">
        <v>43472</v>
      </c>
      <c r="M460" s="1132"/>
      <c r="N460" s="1132"/>
      <c r="O460" s="1144">
        <v>43570</v>
      </c>
      <c r="P460" s="1156">
        <v>1</v>
      </c>
      <c r="Q460" s="1159">
        <v>1</v>
      </c>
      <c r="R460" s="1184" t="s">
        <v>125</v>
      </c>
      <c r="S460" s="817" t="s">
        <v>109</v>
      </c>
      <c r="T460" s="1207" t="s">
        <v>36</v>
      </c>
      <c r="U460" s="1211"/>
      <c r="V460" s="1211"/>
      <c r="W460" s="1216" t="s">
        <v>1467</v>
      </c>
      <c r="X460" s="825"/>
      <c r="Y460" s="299"/>
      <c r="Z460" s="827"/>
      <c r="AA460" s="827"/>
      <c r="AB460" s="297"/>
      <c r="AC460" s="821"/>
      <c r="AD460" s="821"/>
      <c r="AE460" s="821"/>
      <c r="AF460" s="321"/>
    </row>
    <row r="461" spans="1:32" s="321" customFormat="1" ht="129.6">
      <c r="A461" s="888"/>
      <c r="B461" s="4" t="s">
        <v>28</v>
      </c>
      <c r="C461" s="4" t="s">
        <v>3196</v>
      </c>
      <c r="D461" s="10" t="s">
        <v>29</v>
      </c>
      <c r="E461" s="10"/>
      <c r="F461" s="10"/>
      <c r="G461" s="10"/>
      <c r="H461" s="5" t="s">
        <v>70</v>
      </c>
      <c r="I461" s="12" t="s">
        <v>34</v>
      </c>
      <c r="J461" s="16" t="s">
        <v>1222</v>
      </c>
      <c r="K461" s="16"/>
      <c r="L461" s="16"/>
      <c r="M461" s="176">
        <v>43435</v>
      </c>
      <c r="N461" s="176"/>
      <c r="O461" s="176">
        <v>43579</v>
      </c>
      <c r="P461" s="12">
        <v>12</v>
      </c>
      <c r="Q461" s="13" t="s">
        <v>108</v>
      </c>
      <c r="R461" s="18">
        <v>778</v>
      </c>
      <c r="S461" s="5" t="s">
        <v>66</v>
      </c>
      <c r="T461" s="12" t="s">
        <v>54</v>
      </c>
      <c r="U461" s="4"/>
      <c r="V461" s="4"/>
      <c r="W461" s="12" t="s">
        <v>113</v>
      </c>
      <c r="X461" s="1335" t="s">
        <v>90</v>
      </c>
      <c r="Y461" s="5" t="s">
        <v>457</v>
      </c>
      <c r="Z461" s="5"/>
      <c r="AA461" s="12"/>
      <c r="AB461" s="193">
        <v>43572</v>
      </c>
      <c r="AC461" s="78" t="s">
        <v>3197</v>
      </c>
      <c r="AD461" s="4"/>
      <c r="AE461" s="38"/>
    </row>
    <row r="462" spans="1:32" ht="28.8">
      <c r="A462" s="888"/>
      <c r="B462" s="4" t="s">
        <v>28</v>
      </c>
      <c r="C462" s="4" t="s">
        <v>3198</v>
      </c>
      <c r="D462" s="9" t="s">
        <v>29</v>
      </c>
      <c r="E462" s="9"/>
      <c r="F462" s="9"/>
      <c r="G462" s="9"/>
      <c r="H462" s="5" t="s">
        <v>70</v>
      </c>
      <c r="I462" s="12" t="s">
        <v>34</v>
      </c>
      <c r="J462" s="16" t="s">
        <v>3199</v>
      </c>
      <c r="K462" s="16"/>
      <c r="L462" s="16"/>
      <c r="M462" s="176">
        <v>43207</v>
      </c>
      <c r="N462" s="176"/>
      <c r="O462" s="176">
        <v>43586</v>
      </c>
      <c r="P462" s="12">
        <v>48</v>
      </c>
      <c r="Q462" s="13" t="s">
        <v>648</v>
      </c>
      <c r="R462" s="18">
        <v>36000</v>
      </c>
      <c r="S462" s="5" t="s">
        <v>164</v>
      </c>
      <c r="T462" s="12" t="s">
        <v>54</v>
      </c>
      <c r="U462" s="4"/>
      <c r="V462" s="4"/>
      <c r="W462" s="5" t="s">
        <v>2921</v>
      </c>
      <c r="X462" s="5" t="s">
        <v>150</v>
      </c>
      <c r="Y462" s="5" t="s">
        <v>457</v>
      </c>
      <c r="Z462" s="5"/>
      <c r="AA462" s="12"/>
      <c r="AB462" s="193">
        <v>43696</v>
      </c>
      <c r="AC462" s="32" t="s">
        <v>3200</v>
      </c>
      <c r="AD462" s="114"/>
      <c r="AE462" s="39">
        <v>9000</v>
      </c>
      <c r="AF462" s="321"/>
    </row>
    <row r="463" spans="1:32" ht="28.8">
      <c r="A463" s="888"/>
      <c r="B463" s="4" t="s">
        <v>28</v>
      </c>
      <c r="C463" s="4"/>
      <c r="D463" s="8" t="s">
        <v>29</v>
      </c>
      <c r="E463" s="8"/>
      <c r="F463" s="8"/>
      <c r="G463" s="8"/>
      <c r="H463" s="5" t="s">
        <v>81</v>
      </c>
      <c r="I463" s="12" t="s">
        <v>34</v>
      </c>
      <c r="J463" s="97" t="s">
        <v>3201</v>
      </c>
      <c r="K463" s="97"/>
      <c r="L463" s="97"/>
      <c r="M463" s="176" t="s">
        <v>35</v>
      </c>
      <c r="N463" s="176"/>
      <c r="O463" s="176">
        <v>43586</v>
      </c>
      <c r="P463" s="12">
        <v>2</v>
      </c>
      <c r="Q463" s="7" t="s">
        <v>3202</v>
      </c>
      <c r="R463" s="18">
        <v>8000</v>
      </c>
      <c r="S463" s="5" t="s">
        <v>909</v>
      </c>
      <c r="T463" s="12" t="s">
        <v>54</v>
      </c>
      <c r="U463" s="4"/>
      <c r="V463" s="4"/>
      <c r="W463" s="12" t="s">
        <v>931</v>
      </c>
      <c r="X463" s="5" t="s">
        <v>1053</v>
      </c>
      <c r="Y463" s="5" t="s">
        <v>457</v>
      </c>
      <c r="Z463" s="5"/>
      <c r="AA463" s="12"/>
      <c r="AB463" s="193">
        <v>43581</v>
      </c>
      <c r="AC463" s="8" t="s">
        <v>3203</v>
      </c>
      <c r="AD463" s="4"/>
      <c r="AE463" s="38"/>
    </row>
    <row r="464" spans="1:32" ht="39.6">
      <c r="A464" s="852"/>
      <c r="B464" s="520" t="s">
        <v>48</v>
      </c>
      <c r="C464" s="465" t="s">
        <v>1746</v>
      </c>
      <c r="D464" s="466" t="s">
        <v>29</v>
      </c>
      <c r="E464" s="466"/>
      <c r="F464" s="466"/>
      <c r="G464" s="466"/>
      <c r="H464" s="466" t="s">
        <v>49</v>
      </c>
      <c r="I464" s="474" t="s">
        <v>34</v>
      </c>
      <c r="J464" s="1024" t="s">
        <v>1747</v>
      </c>
      <c r="K464" s="467"/>
      <c r="L464" s="540">
        <v>43252</v>
      </c>
      <c r="M464" s="540"/>
      <c r="N464" s="540"/>
      <c r="O464" s="540">
        <v>43586</v>
      </c>
      <c r="P464" s="471" t="s">
        <v>125</v>
      </c>
      <c r="Q464" s="471" t="s">
        <v>125</v>
      </c>
      <c r="R464" s="542">
        <f>4200000/3*4</f>
        <v>5600000</v>
      </c>
      <c r="S464" s="478" t="s">
        <v>125</v>
      </c>
      <c r="T464" s="470" t="s">
        <v>41</v>
      </c>
      <c r="U464" s="470"/>
      <c r="V464" s="470"/>
      <c r="W464" s="474" t="s">
        <v>406</v>
      </c>
      <c r="X464" s="114"/>
      <c r="Y464" s="114"/>
      <c r="Z464" s="114"/>
      <c r="AA464" s="114"/>
      <c r="AB464" s="114"/>
      <c r="AC464" s="114"/>
      <c r="AD464" s="114"/>
      <c r="AE464" s="114"/>
      <c r="AF464" s="321"/>
    </row>
    <row r="465" spans="1:32" ht="57.6" customHeight="1">
      <c r="A465" s="852"/>
      <c r="B465" s="520" t="s">
        <v>48</v>
      </c>
      <c r="C465" s="465" t="s">
        <v>1746</v>
      </c>
      <c r="D465" s="466" t="s">
        <v>29</v>
      </c>
      <c r="E465" s="466"/>
      <c r="F465" s="466"/>
      <c r="G465" s="466"/>
      <c r="H465" s="466" t="s">
        <v>49</v>
      </c>
      <c r="I465" s="474" t="s">
        <v>34</v>
      </c>
      <c r="J465" s="1024" t="s">
        <v>1748</v>
      </c>
      <c r="K465" s="467"/>
      <c r="L465" s="540">
        <v>43252</v>
      </c>
      <c r="M465" s="540"/>
      <c r="N465" s="540"/>
      <c r="O465" s="540">
        <v>43586</v>
      </c>
      <c r="P465" s="471" t="s">
        <v>125</v>
      </c>
      <c r="Q465" s="764" t="s">
        <v>125</v>
      </c>
      <c r="R465" s="542">
        <f>3750000/3*4</f>
        <v>5000000</v>
      </c>
      <c r="S465" s="478" t="s">
        <v>125</v>
      </c>
      <c r="T465" s="470" t="s">
        <v>41</v>
      </c>
      <c r="U465" s="470"/>
      <c r="V465" s="470"/>
      <c r="W465" s="474" t="s">
        <v>406</v>
      </c>
      <c r="X465" s="114"/>
      <c r="Y465" s="114"/>
      <c r="Z465" s="114"/>
      <c r="AA465" s="114"/>
      <c r="AB465" s="114"/>
      <c r="AC465" s="114"/>
      <c r="AD465" s="114"/>
      <c r="AE465" s="114"/>
      <c r="AF465" s="321"/>
    </row>
    <row r="466" spans="1:32" s="419" customFormat="1" ht="409.6" customHeight="1">
      <c r="A466" s="852"/>
      <c r="B466" s="520" t="s">
        <v>48</v>
      </c>
      <c r="C466" s="465" t="s">
        <v>1746</v>
      </c>
      <c r="D466" s="466" t="s">
        <v>29</v>
      </c>
      <c r="E466" s="466"/>
      <c r="F466" s="466"/>
      <c r="G466" s="466"/>
      <c r="H466" s="466" t="s">
        <v>49</v>
      </c>
      <c r="I466" s="474" t="s">
        <v>34</v>
      </c>
      <c r="J466" s="1024" t="s">
        <v>1749</v>
      </c>
      <c r="K466" s="467"/>
      <c r="L466" s="540">
        <v>43252</v>
      </c>
      <c r="M466" s="540"/>
      <c r="N466" s="540"/>
      <c r="O466" s="540">
        <v>43586</v>
      </c>
      <c r="P466" s="471" t="s">
        <v>125</v>
      </c>
      <c r="Q466" s="471" t="s">
        <v>125</v>
      </c>
      <c r="R466" s="542" t="s">
        <v>1750</v>
      </c>
      <c r="S466" s="478" t="s">
        <v>125</v>
      </c>
      <c r="T466" s="470" t="s">
        <v>54</v>
      </c>
      <c r="U466" s="470"/>
      <c r="V466" s="792"/>
      <c r="W466" s="474" t="s">
        <v>406</v>
      </c>
      <c r="X466" s="114"/>
      <c r="Y466" s="114"/>
      <c r="Z466" s="114"/>
      <c r="AA466" s="114"/>
      <c r="AB466" s="114"/>
      <c r="AC466" s="114"/>
      <c r="AD466" s="114"/>
      <c r="AE466" s="114"/>
      <c r="AF466" s="321"/>
    </row>
    <row r="467" spans="1:32" ht="39.6">
      <c r="A467" s="852"/>
      <c r="B467" s="520" t="s">
        <v>48</v>
      </c>
      <c r="C467" s="465" t="s">
        <v>1822</v>
      </c>
      <c r="D467" s="466" t="s">
        <v>29</v>
      </c>
      <c r="E467" s="466"/>
      <c r="F467" s="466"/>
      <c r="G467" s="466"/>
      <c r="H467" s="466" t="s">
        <v>49</v>
      </c>
      <c r="I467" s="474" t="s">
        <v>34</v>
      </c>
      <c r="J467" s="1024" t="s">
        <v>1823</v>
      </c>
      <c r="K467" s="467"/>
      <c r="L467" s="485">
        <v>43497</v>
      </c>
      <c r="M467" s="485"/>
      <c r="N467" s="485"/>
      <c r="O467" s="485">
        <v>43586</v>
      </c>
      <c r="P467" s="471">
        <v>3</v>
      </c>
      <c r="Q467" s="471">
        <v>3</v>
      </c>
      <c r="R467" s="542">
        <v>177000</v>
      </c>
      <c r="S467" s="478" t="s">
        <v>1824</v>
      </c>
      <c r="T467" s="470" t="s">
        <v>54</v>
      </c>
      <c r="U467" s="470"/>
      <c r="V467" s="470"/>
      <c r="W467" s="474" t="s">
        <v>1793</v>
      </c>
      <c r="X467" s="114"/>
      <c r="Y467" s="114"/>
      <c r="Z467" s="114"/>
      <c r="AA467" s="114"/>
      <c r="AB467" s="114"/>
      <c r="AC467" s="114"/>
      <c r="AD467" s="114"/>
      <c r="AE467" s="114"/>
      <c r="AF467" s="321"/>
    </row>
    <row r="468" spans="1:32" ht="86.4" customHeight="1">
      <c r="A468" s="888"/>
      <c r="B468" s="4" t="s">
        <v>28</v>
      </c>
      <c r="C468" s="4"/>
      <c r="D468" s="8" t="s">
        <v>29</v>
      </c>
      <c r="E468" s="8"/>
      <c r="F468" s="8"/>
      <c r="G468" s="8"/>
      <c r="H468" s="5" t="s">
        <v>70</v>
      </c>
      <c r="I468" s="5" t="s">
        <v>34</v>
      </c>
      <c r="J468" s="16" t="s">
        <v>3204</v>
      </c>
      <c r="K468" s="8"/>
      <c r="L468" s="8"/>
      <c r="M468" s="193">
        <v>43466</v>
      </c>
      <c r="N468" s="193"/>
      <c r="O468" s="193">
        <v>43596</v>
      </c>
      <c r="P468" s="5">
        <v>12</v>
      </c>
      <c r="Q468" s="7" t="s">
        <v>108</v>
      </c>
      <c r="R468" s="18">
        <v>20000</v>
      </c>
      <c r="S468" s="5" t="s">
        <v>909</v>
      </c>
      <c r="T468" s="11" t="s">
        <v>110</v>
      </c>
      <c r="U468" s="4"/>
      <c r="V468" s="4"/>
      <c r="W468" s="5" t="s">
        <v>286</v>
      </c>
      <c r="X468" s="5" t="s">
        <v>1091</v>
      </c>
      <c r="Y468" s="5" t="s">
        <v>457</v>
      </c>
      <c r="Z468" s="5"/>
      <c r="AA468" s="5"/>
      <c r="AB468" s="193">
        <v>43551</v>
      </c>
      <c r="AC468" s="8" t="s">
        <v>3205</v>
      </c>
      <c r="AD468" s="4"/>
      <c r="AE468" s="39">
        <v>20000</v>
      </c>
      <c r="AF468" s="321"/>
    </row>
    <row r="469" spans="1:32" ht="86.4" customHeight="1">
      <c r="A469" s="888"/>
      <c r="B469" s="4" t="s">
        <v>28</v>
      </c>
      <c r="C469" s="4" t="s">
        <v>1267</v>
      </c>
      <c r="D469" s="5" t="s">
        <v>29</v>
      </c>
      <c r="E469" s="5"/>
      <c r="F469" s="5"/>
      <c r="G469" s="5"/>
      <c r="H469" s="5" t="s">
        <v>70</v>
      </c>
      <c r="I469" s="5" t="s">
        <v>34</v>
      </c>
      <c r="J469" s="16" t="s">
        <v>501</v>
      </c>
      <c r="K469" s="16"/>
      <c r="L469" s="16"/>
      <c r="M469" s="176">
        <v>43374</v>
      </c>
      <c r="N469" s="176"/>
      <c r="O469" s="176">
        <v>43606</v>
      </c>
      <c r="P469" s="12">
        <v>60</v>
      </c>
      <c r="Q469" s="13" t="s">
        <v>636</v>
      </c>
      <c r="R469" s="18">
        <v>320000</v>
      </c>
      <c r="S469" s="5" t="s">
        <v>109</v>
      </c>
      <c r="T469" s="14" t="s">
        <v>36</v>
      </c>
      <c r="U469" s="4"/>
      <c r="V469" s="4"/>
      <c r="W469" s="5" t="s">
        <v>3206</v>
      </c>
      <c r="X469" s="5" t="s">
        <v>2919</v>
      </c>
      <c r="Y469" s="5" t="s">
        <v>39</v>
      </c>
      <c r="Z469" s="5"/>
      <c r="AA469" s="5"/>
      <c r="AB469" s="193">
        <v>43468</v>
      </c>
      <c r="AC469" s="8" t="s">
        <v>3207</v>
      </c>
      <c r="AD469" s="4"/>
      <c r="AE469" s="38">
        <v>82080</v>
      </c>
    </row>
    <row r="470" spans="1:32" s="321" customFormat="1" ht="28.8">
      <c r="A470" s="852"/>
      <c r="B470" s="4" t="s">
        <v>28</v>
      </c>
      <c r="C470" s="4"/>
      <c r="D470" s="8" t="s">
        <v>29</v>
      </c>
      <c r="E470" s="8"/>
      <c r="F470" s="8"/>
      <c r="G470" s="8"/>
      <c r="H470" s="5" t="s">
        <v>70</v>
      </c>
      <c r="I470" s="12" t="s">
        <v>64</v>
      </c>
      <c r="J470" s="16" t="s">
        <v>3208</v>
      </c>
      <c r="K470" s="16"/>
      <c r="L470" s="16"/>
      <c r="M470" s="118">
        <v>43070</v>
      </c>
      <c r="N470" s="118"/>
      <c r="O470" s="176">
        <v>43608</v>
      </c>
      <c r="P470" s="12">
        <v>84</v>
      </c>
      <c r="Q470" s="7" t="s">
        <v>2797</v>
      </c>
      <c r="R470" s="18">
        <v>466000</v>
      </c>
      <c r="S470" s="5" t="s">
        <v>66</v>
      </c>
      <c r="T470" s="12" t="s">
        <v>54</v>
      </c>
      <c r="U470" s="4"/>
      <c r="V470" s="4"/>
      <c r="W470" s="12" t="s">
        <v>2921</v>
      </c>
      <c r="X470" s="5" t="s">
        <v>1053</v>
      </c>
      <c r="Y470" s="5" t="s">
        <v>457</v>
      </c>
      <c r="Z470" s="5"/>
      <c r="AA470" s="5"/>
      <c r="AB470" s="193">
        <v>43657</v>
      </c>
      <c r="AC470" s="35" t="s">
        <v>1246</v>
      </c>
      <c r="AD470" s="4"/>
      <c r="AE470" s="38"/>
      <c r="AF470" s="317"/>
    </row>
    <row r="471" spans="1:32" ht="43.35" customHeight="1">
      <c r="A471" s="454"/>
      <c r="B471" s="4" t="s">
        <v>28</v>
      </c>
      <c r="C471" s="4" t="s">
        <v>1252</v>
      </c>
      <c r="D471" s="8" t="s">
        <v>29</v>
      </c>
      <c r="E471" s="8"/>
      <c r="F471" s="8"/>
      <c r="G471" s="8"/>
      <c r="H471" s="5" t="s">
        <v>628</v>
      </c>
      <c r="I471" s="5" t="s">
        <v>34</v>
      </c>
      <c r="J471" s="16" t="s">
        <v>629</v>
      </c>
      <c r="K471" s="16"/>
      <c r="L471" s="16"/>
      <c r="M471" s="193">
        <v>42979</v>
      </c>
      <c r="N471" s="193"/>
      <c r="O471" s="193">
        <v>43617</v>
      </c>
      <c r="P471" s="5">
        <v>33</v>
      </c>
      <c r="Q471" s="5" t="s">
        <v>3209</v>
      </c>
      <c r="R471" s="18">
        <v>1000000</v>
      </c>
      <c r="S471" s="5" t="s">
        <v>109</v>
      </c>
      <c r="T471" s="12" t="s">
        <v>41</v>
      </c>
      <c r="U471" s="4"/>
      <c r="V471" s="4"/>
      <c r="W471" s="5" t="s">
        <v>689</v>
      </c>
      <c r="X471" s="5" t="s">
        <v>1053</v>
      </c>
      <c r="Y471" s="5" t="s">
        <v>457</v>
      </c>
      <c r="Z471" s="5"/>
      <c r="AA471" s="5"/>
      <c r="AB471" s="193">
        <v>43595</v>
      </c>
      <c r="AC471" s="8" t="s">
        <v>3210</v>
      </c>
      <c r="AD471" s="4"/>
      <c r="AE471" s="39">
        <v>350000</v>
      </c>
      <c r="AF471" s="321"/>
    </row>
    <row r="472" spans="1:32" ht="409.6" customHeight="1">
      <c r="A472" s="888"/>
      <c r="B472" s="4" t="s">
        <v>28</v>
      </c>
      <c r="C472" s="4" t="s">
        <v>3211</v>
      </c>
      <c r="D472" s="8" t="s">
        <v>29</v>
      </c>
      <c r="E472" s="8"/>
      <c r="F472" s="8"/>
      <c r="G472" s="8"/>
      <c r="H472" s="5" t="s">
        <v>70</v>
      </c>
      <c r="I472" s="5" t="s">
        <v>34</v>
      </c>
      <c r="J472" s="16" t="s">
        <v>87</v>
      </c>
      <c r="K472" s="8"/>
      <c r="L472" s="8"/>
      <c r="M472" s="193">
        <v>43132</v>
      </c>
      <c r="N472" s="193"/>
      <c r="O472" s="193">
        <v>43617</v>
      </c>
      <c r="P472" s="5">
        <v>60</v>
      </c>
      <c r="Q472" s="7" t="s">
        <v>143</v>
      </c>
      <c r="R472" s="18">
        <v>1740000</v>
      </c>
      <c r="S472" s="193" t="s">
        <v>1163</v>
      </c>
      <c r="T472" s="12" t="s">
        <v>41</v>
      </c>
      <c r="U472" s="4"/>
      <c r="V472" s="4"/>
      <c r="W472" s="5" t="s">
        <v>1220</v>
      </c>
      <c r="X472" s="5" t="s">
        <v>1536</v>
      </c>
      <c r="Y472" s="5" t="s">
        <v>179</v>
      </c>
      <c r="Z472" s="5"/>
      <c r="AA472" s="5"/>
      <c r="AB472" s="193">
        <v>43642</v>
      </c>
      <c r="AC472" s="107" t="s">
        <v>3212</v>
      </c>
      <c r="AD472" s="4"/>
      <c r="AE472" s="39"/>
      <c r="AF472" s="321"/>
    </row>
    <row r="473" spans="1:32" s="53" customFormat="1" ht="86.4">
      <c r="A473" s="1364"/>
      <c r="B473" s="141" t="s">
        <v>28</v>
      </c>
      <c r="C473" s="4" t="s">
        <v>651</v>
      </c>
      <c r="D473" s="112" t="s">
        <v>29</v>
      </c>
      <c r="E473" s="112"/>
      <c r="F473" s="112"/>
      <c r="G473" s="112"/>
      <c r="H473" s="5" t="s">
        <v>876</v>
      </c>
      <c r="I473" s="5" t="s">
        <v>34</v>
      </c>
      <c r="J473" s="16" t="s">
        <v>1083</v>
      </c>
      <c r="K473" s="8"/>
      <c r="L473" s="8"/>
      <c r="M473" s="193">
        <v>43191</v>
      </c>
      <c r="N473" s="193"/>
      <c r="O473" s="193">
        <v>43617</v>
      </c>
      <c r="P473" s="5">
        <v>48</v>
      </c>
      <c r="Q473" s="25" t="s">
        <v>298</v>
      </c>
      <c r="R473" s="18">
        <v>2400000</v>
      </c>
      <c r="S473" s="119" t="s">
        <v>1163</v>
      </c>
      <c r="T473" s="11" t="s">
        <v>54</v>
      </c>
      <c r="U473" s="4"/>
      <c r="V473" s="4"/>
      <c r="W473" s="5" t="s">
        <v>878</v>
      </c>
      <c r="X473" s="5" t="s">
        <v>1091</v>
      </c>
      <c r="Y473" s="5" t="s">
        <v>457</v>
      </c>
      <c r="Z473" s="5"/>
      <c r="AA473" s="5"/>
      <c r="AB473" s="193">
        <v>43635</v>
      </c>
      <c r="AC473" s="35" t="s">
        <v>3213</v>
      </c>
      <c r="AD473" s="732"/>
      <c r="AE473" s="158">
        <v>600000</v>
      </c>
      <c r="AF473" s="321"/>
    </row>
    <row r="474" spans="1:32" s="1" customFormat="1" ht="28.8">
      <c r="A474" s="888"/>
      <c r="B474" s="141" t="s">
        <v>28</v>
      </c>
      <c r="C474" s="4" t="s">
        <v>3214</v>
      </c>
      <c r="D474" s="112" t="s">
        <v>29</v>
      </c>
      <c r="E474" s="112"/>
      <c r="F474" s="112"/>
      <c r="G474" s="112"/>
      <c r="H474" s="5" t="s">
        <v>364</v>
      </c>
      <c r="I474" s="5" t="s">
        <v>34</v>
      </c>
      <c r="J474" s="16" t="s">
        <v>3215</v>
      </c>
      <c r="K474" s="16"/>
      <c r="L474" s="16"/>
      <c r="M474" s="176">
        <v>43570</v>
      </c>
      <c r="N474" s="176"/>
      <c r="O474" s="176">
        <v>43617</v>
      </c>
      <c r="P474" s="12">
        <v>12</v>
      </c>
      <c r="Q474" s="7" t="s">
        <v>108</v>
      </c>
      <c r="R474" s="18">
        <v>4500</v>
      </c>
      <c r="S474" s="5" t="s">
        <v>909</v>
      </c>
      <c r="T474" s="12" t="s">
        <v>54</v>
      </c>
      <c r="U474" s="4"/>
      <c r="V474" s="4"/>
      <c r="W474" s="5" t="s">
        <v>3216</v>
      </c>
      <c r="X474" s="5" t="s">
        <v>94</v>
      </c>
      <c r="Y474" s="5" t="s">
        <v>457</v>
      </c>
      <c r="Z474" s="5"/>
      <c r="AA474" s="5"/>
      <c r="AB474" s="193">
        <v>43594</v>
      </c>
      <c r="AC474" s="8" t="s">
        <v>3217</v>
      </c>
      <c r="AD474" s="141"/>
      <c r="AE474" s="215"/>
      <c r="AF474" s="321"/>
    </row>
    <row r="475" spans="1:32" s="3" customFormat="1" ht="57.6" customHeight="1">
      <c r="A475" s="888"/>
      <c r="B475" s="141" t="s">
        <v>28</v>
      </c>
      <c r="C475" s="4" t="s">
        <v>3218</v>
      </c>
      <c r="D475" s="30" t="s">
        <v>60</v>
      </c>
      <c r="E475" s="30"/>
      <c r="F475" s="30"/>
      <c r="G475" s="30"/>
      <c r="H475" s="5" t="s">
        <v>304</v>
      </c>
      <c r="I475" s="5" t="s">
        <v>34</v>
      </c>
      <c r="J475" s="16" t="s">
        <v>3219</v>
      </c>
      <c r="K475" s="16"/>
      <c r="L475" s="16"/>
      <c r="M475" s="176">
        <v>43617</v>
      </c>
      <c r="N475" s="176"/>
      <c r="O475" s="176">
        <v>43617</v>
      </c>
      <c r="P475" s="12">
        <v>13</v>
      </c>
      <c r="Q475" s="25" t="s">
        <v>35</v>
      </c>
      <c r="R475" s="39">
        <v>75000</v>
      </c>
      <c r="S475" s="30" t="s">
        <v>163</v>
      </c>
      <c r="T475" s="5" t="s">
        <v>54</v>
      </c>
      <c r="U475" s="4"/>
      <c r="V475" s="4"/>
      <c r="W475" s="5" t="s">
        <v>3220</v>
      </c>
      <c r="X475" s="5" t="s">
        <v>2919</v>
      </c>
      <c r="Y475" s="5" t="s">
        <v>39</v>
      </c>
      <c r="Z475" s="5"/>
      <c r="AA475" s="5"/>
      <c r="AB475" s="193">
        <v>43803</v>
      </c>
      <c r="AC475" s="8" t="s">
        <v>3221</v>
      </c>
      <c r="AD475" s="141"/>
      <c r="AE475" s="215"/>
      <c r="AF475"/>
    </row>
    <row r="476" spans="1:32" ht="26.4">
      <c r="A476" s="852"/>
      <c r="B476" s="713" t="s">
        <v>48</v>
      </c>
      <c r="C476" s="465" t="s">
        <v>1833</v>
      </c>
      <c r="D476" s="554" t="s">
        <v>29</v>
      </c>
      <c r="E476" s="554"/>
      <c r="F476" s="554"/>
      <c r="G476" s="554"/>
      <c r="H476" s="466" t="s">
        <v>1834</v>
      </c>
      <c r="I476" s="474" t="s">
        <v>34</v>
      </c>
      <c r="J476" s="1024" t="s">
        <v>1835</v>
      </c>
      <c r="K476" s="467"/>
      <c r="L476" s="485">
        <v>43009</v>
      </c>
      <c r="M476" s="485"/>
      <c r="N476" s="485"/>
      <c r="O476" s="485">
        <v>43617</v>
      </c>
      <c r="P476" s="471">
        <v>48</v>
      </c>
      <c r="Q476" s="471" t="s">
        <v>191</v>
      </c>
      <c r="R476" s="542">
        <v>30000000</v>
      </c>
      <c r="S476" s="478" t="s">
        <v>98</v>
      </c>
      <c r="T476" s="470" t="s">
        <v>41</v>
      </c>
      <c r="U476" s="470"/>
      <c r="V476" s="470"/>
      <c r="W476" s="474" t="s">
        <v>384</v>
      </c>
      <c r="X476" s="114"/>
      <c r="Y476" s="114"/>
      <c r="Z476" s="114"/>
      <c r="AA476" s="114"/>
      <c r="AB476" s="114"/>
      <c r="AC476" s="114"/>
      <c r="AD476" s="303"/>
      <c r="AE476" s="180"/>
    </row>
    <row r="477" spans="1:32" s="1" customFormat="1" ht="66">
      <c r="A477" s="852"/>
      <c r="B477" s="713" t="s">
        <v>48</v>
      </c>
      <c r="C477" s="465" t="s">
        <v>125</v>
      </c>
      <c r="D477" s="554" t="s">
        <v>60</v>
      </c>
      <c r="E477" s="554"/>
      <c r="F477" s="554"/>
      <c r="G477" s="554"/>
      <c r="H477" s="466" t="s">
        <v>127</v>
      </c>
      <c r="I477" s="474" t="s">
        <v>34</v>
      </c>
      <c r="J477" s="1024" t="s">
        <v>2289</v>
      </c>
      <c r="K477" s="467"/>
      <c r="L477" s="467"/>
      <c r="M477" s="466">
        <v>3</v>
      </c>
      <c r="N477" s="469" t="str">
        <f>IF(O477="tbc","",(IFERROR(EDATE(#REF!,-3),"Invalid procurement method or date entered")))</f>
        <v>Invalid procurement method or date entered</v>
      </c>
      <c r="O477" s="470">
        <v>43622</v>
      </c>
      <c r="P477" s="471">
        <v>2</v>
      </c>
      <c r="Q477" s="471">
        <v>2</v>
      </c>
      <c r="R477" s="483">
        <f>600000+800000</f>
        <v>1400000</v>
      </c>
      <c r="S477" s="470" t="s">
        <v>129</v>
      </c>
      <c r="T477" s="470" t="s">
        <v>144</v>
      </c>
      <c r="U477" s="470" t="s">
        <v>125</v>
      </c>
      <c r="V477" s="470"/>
      <c r="W477" s="474" t="s">
        <v>2290</v>
      </c>
      <c r="X477" s="114"/>
      <c r="Y477" s="114"/>
      <c r="Z477" s="114"/>
      <c r="AA477" s="114"/>
      <c r="AB477" s="114"/>
      <c r="AC477" s="114"/>
      <c r="AD477" s="303"/>
      <c r="AE477" s="180"/>
      <c r="AF477"/>
    </row>
    <row r="478" spans="1:32" s="34" customFormat="1" ht="57.6">
      <c r="A478" s="888"/>
      <c r="B478" s="141" t="s">
        <v>28</v>
      </c>
      <c r="C478" s="723" t="s">
        <v>1103</v>
      </c>
      <c r="D478" s="112" t="s">
        <v>29</v>
      </c>
      <c r="E478" s="112"/>
      <c r="F478" s="112"/>
      <c r="G478" s="112"/>
      <c r="H478" s="5" t="s">
        <v>70</v>
      </c>
      <c r="I478" s="12" t="s">
        <v>34</v>
      </c>
      <c r="J478" s="16" t="s">
        <v>2875</v>
      </c>
      <c r="K478" s="16"/>
      <c r="L478" s="16"/>
      <c r="M478" s="176">
        <v>43344</v>
      </c>
      <c r="N478" s="176"/>
      <c r="O478" s="176">
        <v>43624</v>
      </c>
      <c r="P478" s="13" t="s">
        <v>108</v>
      </c>
      <c r="Q478" s="13" t="s">
        <v>108</v>
      </c>
      <c r="R478" s="18">
        <v>23085</v>
      </c>
      <c r="S478" s="5" t="s">
        <v>1195</v>
      </c>
      <c r="T478" s="12" t="s">
        <v>54</v>
      </c>
      <c r="U478" s="4"/>
      <c r="V478" s="4"/>
      <c r="W478" s="5" t="s">
        <v>2876</v>
      </c>
      <c r="X478" s="5" t="s">
        <v>1091</v>
      </c>
      <c r="Y478" s="5" t="s">
        <v>457</v>
      </c>
      <c r="Z478" s="5"/>
      <c r="AA478" s="12"/>
      <c r="AB478" s="193">
        <v>43377</v>
      </c>
      <c r="AC478" s="35" t="s">
        <v>1266</v>
      </c>
      <c r="AD478" s="141"/>
      <c r="AE478" s="219">
        <v>19237.5</v>
      </c>
      <c r="AF478"/>
    </row>
    <row r="479" spans="1:32" ht="28.8">
      <c r="A479" s="895"/>
      <c r="B479" s="141" t="s">
        <v>28</v>
      </c>
      <c r="C479" s="4" t="s">
        <v>3222</v>
      </c>
      <c r="D479" s="112" t="s">
        <v>29</v>
      </c>
      <c r="E479" s="112"/>
      <c r="F479" s="112"/>
      <c r="G479" s="112"/>
      <c r="H479" s="5" t="s">
        <v>119</v>
      </c>
      <c r="I479" s="5" t="s">
        <v>34</v>
      </c>
      <c r="J479" s="16" t="s">
        <v>970</v>
      </c>
      <c r="K479" s="8"/>
      <c r="L479" s="8"/>
      <c r="M479" s="193"/>
      <c r="N479" s="193"/>
      <c r="O479" s="193">
        <v>43627</v>
      </c>
      <c r="P479" s="5">
        <v>12</v>
      </c>
      <c r="Q479" s="7" t="s">
        <v>108</v>
      </c>
      <c r="R479" s="18">
        <v>1800</v>
      </c>
      <c r="S479" s="5" t="s">
        <v>2615</v>
      </c>
      <c r="T479" s="11" t="s">
        <v>54</v>
      </c>
      <c r="U479" s="4"/>
      <c r="V479" s="4"/>
      <c r="W479" s="5" t="s">
        <v>971</v>
      </c>
      <c r="X479" s="5" t="s">
        <v>2788</v>
      </c>
      <c r="Y479" s="5" t="s">
        <v>457</v>
      </c>
      <c r="Z479" s="5"/>
      <c r="AA479" s="5"/>
      <c r="AB479" s="193"/>
      <c r="AC479" s="8"/>
      <c r="AD479" s="141"/>
      <c r="AE479" s="218"/>
    </row>
    <row r="480" spans="1:32" s="1" customFormat="1" ht="28.8">
      <c r="A480" s="888"/>
      <c r="B480" s="141" t="s">
        <v>28</v>
      </c>
      <c r="C480" s="4" t="s">
        <v>3223</v>
      </c>
      <c r="D480" s="112" t="s">
        <v>29</v>
      </c>
      <c r="E480" s="112"/>
      <c r="F480" s="112"/>
      <c r="G480" s="112"/>
      <c r="H480" s="5" t="s">
        <v>70</v>
      </c>
      <c r="I480" s="5" t="s">
        <v>34</v>
      </c>
      <c r="J480" s="16" t="s">
        <v>3224</v>
      </c>
      <c r="K480" s="8"/>
      <c r="L480" s="8"/>
      <c r="M480" s="193">
        <v>43282</v>
      </c>
      <c r="N480" s="193"/>
      <c r="O480" s="193">
        <v>43631</v>
      </c>
      <c r="P480" s="5">
        <v>36</v>
      </c>
      <c r="Q480" s="25" t="s">
        <v>488</v>
      </c>
      <c r="R480" s="18">
        <v>115000</v>
      </c>
      <c r="S480" s="30" t="s">
        <v>109</v>
      </c>
      <c r="T480" s="11" t="s">
        <v>54</v>
      </c>
      <c r="U480" s="4"/>
      <c r="V480" s="4"/>
      <c r="W480" s="5" t="s">
        <v>3156</v>
      </c>
      <c r="X480" s="5" t="s">
        <v>1053</v>
      </c>
      <c r="Y480" s="5" t="s">
        <v>457</v>
      </c>
      <c r="Z480" s="5"/>
      <c r="AA480" s="5"/>
      <c r="AB480" s="193">
        <v>43678</v>
      </c>
      <c r="AC480" s="8" t="s">
        <v>1268</v>
      </c>
      <c r="AD480" s="141"/>
      <c r="AE480" s="158"/>
      <c r="AF480"/>
    </row>
    <row r="481" spans="1:32" s="53" customFormat="1" ht="28.8">
      <c r="A481" s="888"/>
      <c r="B481" s="141" t="s">
        <v>28</v>
      </c>
      <c r="C481" s="4" t="s">
        <v>3223</v>
      </c>
      <c r="D481" s="112" t="s">
        <v>29</v>
      </c>
      <c r="E481" s="112"/>
      <c r="F481" s="112"/>
      <c r="G481" s="112"/>
      <c r="H481" s="5" t="s">
        <v>70</v>
      </c>
      <c r="I481" s="5" t="s">
        <v>34</v>
      </c>
      <c r="J481" s="16" t="s">
        <v>3224</v>
      </c>
      <c r="K481" s="8"/>
      <c r="L481" s="8"/>
      <c r="M481" s="193">
        <v>43282</v>
      </c>
      <c r="N481" s="193"/>
      <c r="O481" s="193">
        <v>43631</v>
      </c>
      <c r="P481" s="5">
        <v>36</v>
      </c>
      <c r="Q481" s="7" t="s">
        <v>488</v>
      </c>
      <c r="R481" s="18">
        <v>115000</v>
      </c>
      <c r="S481" s="5" t="s">
        <v>109</v>
      </c>
      <c r="T481" s="11" t="s">
        <v>54</v>
      </c>
      <c r="U481" s="4"/>
      <c r="V481" s="4"/>
      <c r="W481" s="5" t="s">
        <v>3156</v>
      </c>
      <c r="X481" s="5" t="s">
        <v>1053</v>
      </c>
      <c r="Y481" s="5" t="s">
        <v>457</v>
      </c>
      <c r="Z481" s="5"/>
      <c r="AA481" s="5"/>
      <c r="AB481" s="193">
        <v>43678</v>
      </c>
      <c r="AC481" s="8" t="s">
        <v>1268</v>
      </c>
      <c r="AD481" s="141"/>
      <c r="AE481" s="158"/>
      <c r="AF481"/>
    </row>
    <row r="482" spans="1:32" s="53" customFormat="1" ht="409.6" customHeight="1">
      <c r="A482" s="888"/>
      <c r="B482" s="141" t="s">
        <v>28</v>
      </c>
      <c r="C482" s="4"/>
      <c r="D482" s="112" t="s">
        <v>29</v>
      </c>
      <c r="E482" s="112"/>
      <c r="F482" s="112"/>
      <c r="G482" s="112"/>
      <c r="H482" s="5" t="s">
        <v>3225</v>
      </c>
      <c r="I482" s="5" t="s">
        <v>34</v>
      </c>
      <c r="J482" s="16" t="s">
        <v>1032</v>
      </c>
      <c r="K482" s="8"/>
      <c r="L482" s="8"/>
      <c r="M482" s="193">
        <v>43605</v>
      </c>
      <c r="N482" s="193"/>
      <c r="O482" s="193">
        <v>43632</v>
      </c>
      <c r="P482" s="5">
        <v>36</v>
      </c>
      <c r="Q482" s="7" t="s">
        <v>488</v>
      </c>
      <c r="R482" s="18">
        <v>44673</v>
      </c>
      <c r="S482" s="5" t="s">
        <v>217</v>
      </c>
      <c r="T482" s="11" t="s">
        <v>54</v>
      </c>
      <c r="U482" s="4"/>
      <c r="V482" s="4"/>
      <c r="W482" s="5" t="s">
        <v>878</v>
      </c>
      <c r="X482" s="5" t="s">
        <v>219</v>
      </c>
      <c r="Y482" s="5" t="s">
        <v>457</v>
      </c>
      <c r="Z482" s="5"/>
      <c r="AA482" s="5"/>
      <c r="AB482" s="177">
        <v>43630</v>
      </c>
      <c r="AC482" s="8" t="s">
        <v>3226</v>
      </c>
      <c r="AD482" s="141"/>
      <c r="AE482" s="158">
        <v>14891</v>
      </c>
      <c r="AF482"/>
    </row>
    <row r="483" spans="1:32" s="1" customFormat="1" ht="52.8">
      <c r="A483" s="852"/>
      <c r="B483" s="713" t="s">
        <v>48</v>
      </c>
      <c r="C483" s="465" t="s">
        <v>1898</v>
      </c>
      <c r="D483" s="554" t="s">
        <v>60</v>
      </c>
      <c r="E483" s="554"/>
      <c r="F483" s="554"/>
      <c r="G483" s="554"/>
      <c r="H483" s="466" t="s">
        <v>127</v>
      </c>
      <c r="I483" s="474" t="s">
        <v>34</v>
      </c>
      <c r="J483" s="1024" t="s">
        <v>1899</v>
      </c>
      <c r="K483" s="467"/>
      <c r="L483" s="485">
        <v>43556</v>
      </c>
      <c r="M483" s="485"/>
      <c r="N483" s="485"/>
      <c r="O483" s="485">
        <v>43633</v>
      </c>
      <c r="P483" s="471">
        <v>5</v>
      </c>
      <c r="Q483" s="471">
        <v>5</v>
      </c>
      <c r="R483" s="542">
        <v>165000</v>
      </c>
      <c r="S483" s="478" t="s">
        <v>1663</v>
      </c>
      <c r="T483" s="470" t="s">
        <v>54</v>
      </c>
      <c r="U483" s="470"/>
      <c r="V483" s="470"/>
      <c r="W483" s="474" t="s">
        <v>1772</v>
      </c>
      <c r="X483" s="114"/>
      <c r="Y483" s="114"/>
      <c r="Z483" s="114"/>
      <c r="AA483" s="114"/>
      <c r="AB483" s="114"/>
      <c r="AC483" s="114"/>
      <c r="AD483" s="303"/>
      <c r="AE483" s="180"/>
      <c r="AF483"/>
    </row>
    <row r="484" spans="1:32" s="1" customFormat="1" ht="100.8">
      <c r="A484" s="1364"/>
      <c r="B484" s="141" t="s">
        <v>28</v>
      </c>
      <c r="C484" s="4" t="s">
        <v>3227</v>
      </c>
      <c r="D484" s="31" t="s">
        <v>29</v>
      </c>
      <c r="E484" s="31"/>
      <c r="F484" s="31"/>
      <c r="G484" s="31"/>
      <c r="H484" s="5" t="s">
        <v>70</v>
      </c>
      <c r="I484" s="12" t="s">
        <v>64</v>
      </c>
      <c r="J484" s="16" t="s">
        <v>3228</v>
      </c>
      <c r="K484" s="16"/>
      <c r="L484" s="16"/>
      <c r="M484" s="176">
        <v>43191</v>
      </c>
      <c r="N484" s="176"/>
      <c r="O484" s="71">
        <v>43636</v>
      </c>
      <c r="P484" s="72">
        <v>12</v>
      </c>
      <c r="Q484" s="72">
        <v>12</v>
      </c>
      <c r="R484" s="18">
        <v>127125</v>
      </c>
      <c r="S484" s="176" t="s">
        <v>164</v>
      </c>
      <c r="T484" s="12" t="s">
        <v>54</v>
      </c>
      <c r="U484" s="4"/>
      <c r="V484" s="4"/>
      <c r="W484" s="5" t="s">
        <v>3229</v>
      </c>
      <c r="X484" s="5" t="s">
        <v>150</v>
      </c>
      <c r="Y484" s="5" t="s">
        <v>457</v>
      </c>
      <c r="Z484" s="5"/>
      <c r="AA484" s="27"/>
      <c r="AB484" s="42">
        <v>43696</v>
      </c>
      <c r="AC484" s="32" t="s">
        <v>3230</v>
      </c>
      <c r="AD484" s="141"/>
      <c r="AE484" s="158">
        <v>42375</v>
      </c>
      <c r="AF484"/>
    </row>
    <row r="485" spans="1:32" s="1" customFormat="1" ht="57.6" customHeight="1">
      <c r="A485" s="895"/>
      <c r="B485" s="141" t="s">
        <v>28</v>
      </c>
      <c r="C485" s="4" t="s">
        <v>1298</v>
      </c>
      <c r="D485" s="112" t="s">
        <v>29</v>
      </c>
      <c r="E485" s="112"/>
      <c r="F485" s="112"/>
      <c r="G485" s="112"/>
      <c r="H485" s="5" t="s">
        <v>2695</v>
      </c>
      <c r="I485" s="12" t="s">
        <v>34</v>
      </c>
      <c r="J485" s="16" t="s">
        <v>2883</v>
      </c>
      <c r="K485" s="16"/>
      <c r="L485" s="16"/>
      <c r="M485" s="176">
        <v>43586</v>
      </c>
      <c r="N485" s="176"/>
      <c r="O485" s="176">
        <v>43638</v>
      </c>
      <c r="P485" s="12">
        <v>12</v>
      </c>
      <c r="Q485" s="7" t="s">
        <v>108</v>
      </c>
      <c r="R485" s="18">
        <v>7400</v>
      </c>
      <c r="S485" s="5" t="s">
        <v>109</v>
      </c>
      <c r="T485" s="12" t="s">
        <v>54</v>
      </c>
      <c r="U485" s="4"/>
      <c r="V485" s="4"/>
      <c r="W485" s="12" t="s">
        <v>2622</v>
      </c>
      <c r="X485" s="43" t="s">
        <v>234</v>
      </c>
      <c r="Y485" s="5" t="s">
        <v>457</v>
      </c>
      <c r="Z485" s="5"/>
      <c r="AA485" s="26"/>
      <c r="AB485" s="42">
        <v>43626</v>
      </c>
      <c r="AC485" s="8" t="s">
        <v>3231</v>
      </c>
      <c r="AD485" s="858"/>
      <c r="AE485" s="215"/>
      <c r="AF485" s="321"/>
    </row>
    <row r="486" spans="1:32" s="53" customFormat="1" ht="52.8">
      <c r="A486" s="852"/>
      <c r="B486" s="713" t="s">
        <v>48</v>
      </c>
      <c r="C486" s="465" t="s">
        <v>1892</v>
      </c>
      <c r="D486" s="554" t="s">
        <v>60</v>
      </c>
      <c r="E486" s="554"/>
      <c r="F486" s="554"/>
      <c r="G486" s="554"/>
      <c r="H486" s="466" t="s">
        <v>127</v>
      </c>
      <c r="I486" s="465" t="s">
        <v>34</v>
      </c>
      <c r="J486" s="1025" t="s">
        <v>1893</v>
      </c>
      <c r="K486" s="488"/>
      <c r="L486" s="560">
        <v>43528</v>
      </c>
      <c r="M486" s="560"/>
      <c r="N486" s="560"/>
      <c r="O486" s="560">
        <v>43640</v>
      </c>
      <c r="P486" s="490">
        <v>5</v>
      </c>
      <c r="Q486" s="490">
        <v>5</v>
      </c>
      <c r="R486" s="542">
        <v>1560000</v>
      </c>
      <c r="S486" s="488" t="s">
        <v>1663</v>
      </c>
      <c r="T486" s="558" t="s">
        <v>54</v>
      </c>
      <c r="U486" s="558"/>
      <c r="V486" s="558"/>
      <c r="W486" s="465" t="s">
        <v>1894</v>
      </c>
      <c r="X486" s="114"/>
      <c r="Y486" s="114"/>
      <c r="Z486" s="114"/>
      <c r="AA486" s="114"/>
      <c r="AB486" s="114"/>
      <c r="AC486" s="114"/>
      <c r="AD486" s="303"/>
      <c r="AE486" s="180"/>
      <c r="AF486"/>
    </row>
    <row r="487" spans="1:32" s="53" customFormat="1" ht="72">
      <c r="A487" s="888"/>
      <c r="B487" s="141" t="s">
        <v>28</v>
      </c>
      <c r="C487" s="4" t="s">
        <v>111</v>
      </c>
      <c r="D487" s="112" t="s">
        <v>29</v>
      </c>
      <c r="E487" s="112"/>
      <c r="F487" s="112"/>
      <c r="G487" s="112"/>
      <c r="H487" s="5" t="s">
        <v>3097</v>
      </c>
      <c r="I487" s="5" t="s">
        <v>64</v>
      </c>
      <c r="J487" s="16" t="s">
        <v>2625</v>
      </c>
      <c r="K487" s="16"/>
      <c r="L487" s="16"/>
      <c r="M487" s="193">
        <v>43435</v>
      </c>
      <c r="N487" s="193"/>
      <c r="O487" s="176">
        <v>43647</v>
      </c>
      <c r="P487" s="12">
        <v>72</v>
      </c>
      <c r="Q487" s="146" t="s">
        <v>3232</v>
      </c>
      <c r="R487" s="18">
        <v>11400</v>
      </c>
      <c r="S487" s="30" t="s">
        <v>66</v>
      </c>
      <c r="T487" s="11" t="s">
        <v>54</v>
      </c>
      <c r="U487" s="4"/>
      <c r="V487" s="4"/>
      <c r="W487" s="5" t="s">
        <v>3233</v>
      </c>
      <c r="X487" s="1335" t="s">
        <v>90</v>
      </c>
      <c r="Y487" s="5" t="s">
        <v>457</v>
      </c>
      <c r="Z487" s="5"/>
      <c r="AA487" s="27"/>
      <c r="AB487" s="42">
        <v>43566</v>
      </c>
      <c r="AC487" s="78" t="s">
        <v>3234</v>
      </c>
      <c r="AD487" s="141"/>
      <c r="AE487" s="158">
        <v>1900</v>
      </c>
      <c r="AF487"/>
    </row>
    <row r="488" spans="1:32" s="53" customFormat="1" ht="29.1" customHeight="1">
      <c r="A488" s="888"/>
      <c r="B488" s="141" t="s">
        <v>28</v>
      </c>
      <c r="C488" s="4"/>
      <c r="D488" s="30" t="s">
        <v>60</v>
      </c>
      <c r="E488" s="30"/>
      <c r="F488" s="30"/>
      <c r="G488" s="30"/>
      <c r="H488" s="5" t="s">
        <v>3235</v>
      </c>
      <c r="I488" s="5" t="s">
        <v>34</v>
      </c>
      <c r="J488" s="16" t="s">
        <v>3236</v>
      </c>
      <c r="K488" s="16"/>
      <c r="L488" s="16"/>
      <c r="M488" s="176">
        <v>43556</v>
      </c>
      <c r="N488" s="176"/>
      <c r="O488" s="176">
        <v>43647</v>
      </c>
      <c r="P488" s="12">
        <v>9</v>
      </c>
      <c r="Q488" s="7" t="s">
        <v>3237</v>
      </c>
      <c r="R488" s="39">
        <v>176514</v>
      </c>
      <c r="S488" s="5" t="s">
        <v>109</v>
      </c>
      <c r="T488" s="5" t="s">
        <v>54</v>
      </c>
      <c r="U488" s="4"/>
      <c r="V488" s="4"/>
      <c r="W488" s="5" t="s">
        <v>2100</v>
      </c>
      <c r="X488" s="5" t="s">
        <v>1091</v>
      </c>
      <c r="Y488" s="5" t="s">
        <v>457</v>
      </c>
      <c r="Z488" s="5"/>
      <c r="AA488" s="5"/>
      <c r="AB488" s="193">
        <v>43846</v>
      </c>
      <c r="AC488" s="78" t="s">
        <v>3238</v>
      </c>
      <c r="AD488" s="4"/>
      <c r="AE488" s="215"/>
      <c r="AF488"/>
    </row>
    <row r="489" spans="1:32" ht="43.35" customHeight="1">
      <c r="A489" s="852"/>
      <c r="B489" s="713" t="s">
        <v>48</v>
      </c>
      <c r="C489" s="465"/>
      <c r="D489" s="554" t="s">
        <v>29</v>
      </c>
      <c r="E489" s="554"/>
      <c r="F489" s="554"/>
      <c r="G489" s="554"/>
      <c r="H489" s="466" t="s">
        <v>49</v>
      </c>
      <c r="I489" s="474" t="s">
        <v>34</v>
      </c>
      <c r="J489" s="1024" t="s">
        <v>1644</v>
      </c>
      <c r="K489" s="467"/>
      <c r="L489" s="545">
        <v>43282</v>
      </c>
      <c r="M489" s="545"/>
      <c r="N489" s="545"/>
      <c r="O489" s="540">
        <v>43647</v>
      </c>
      <c r="P489" s="471" t="s">
        <v>125</v>
      </c>
      <c r="Q489" s="471"/>
      <c r="R489" s="542">
        <v>9000</v>
      </c>
      <c r="S489" s="478" t="s">
        <v>109</v>
      </c>
      <c r="T489" s="470" t="s">
        <v>54</v>
      </c>
      <c r="U489" s="470"/>
      <c r="V489" s="470"/>
      <c r="W489" s="474" t="s">
        <v>406</v>
      </c>
      <c r="X489" s="114"/>
      <c r="Y489" s="114"/>
      <c r="Z489" s="114"/>
      <c r="AA489" s="114"/>
      <c r="AB489" s="114"/>
      <c r="AC489" s="114"/>
      <c r="AD489" s="303"/>
      <c r="AE489" s="180"/>
    </row>
    <row r="490" spans="1:32" ht="39.6">
      <c r="A490" s="852"/>
      <c r="B490" s="713" t="s">
        <v>48</v>
      </c>
      <c r="C490" s="465" t="s">
        <v>1701</v>
      </c>
      <c r="D490" s="554" t="s">
        <v>29</v>
      </c>
      <c r="E490" s="554"/>
      <c r="F490" s="554"/>
      <c r="G490" s="554"/>
      <c r="H490" s="466" t="s">
        <v>49</v>
      </c>
      <c r="I490" s="474" t="s">
        <v>34</v>
      </c>
      <c r="J490" s="1024" t="s">
        <v>1702</v>
      </c>
      <c r="K490" s="467"/>
      <c r="L490" s="545">
        <v>43497</v>
      </c>
      <c r="M490" s="545"/>
      <c r="N490" s="545"/>
      <c r="O490" s="540">
        <v>43647</v>
      </c>
      <c r="P490" s="471" t="s">
        <v>125</v>
      </c>
      <c r="Q490" s="761" t="s">
        <v>125</v>
      </c>
      <c r="R490" s="542">
        <v>85000</v>
      </c>
      <c r="S490" s="791" t="s">
        <v>109</v>
      </c>
      <c r="T490" s="470" t="s">
        <v>54</v>
      </c>
      <c r="U490" s="470"/>
      <c r="V490" s="470"/>
      <c r="W490" s="474" t="s">
        <v>406</v>
      </c>
      <c r="X490" s="114"/>
      <c r="Y490" s="114"/>
      <c r="AA490" s="114"/>
      <c r="AB490" s="114"/>
      <c r="AC490" s="114"/>
      <c r="AD490" s="303"/>
      <c r="AE490" s="180"/>
      <c r="AF490" s="419"/>
    </row>
    <row r="491" spans="1:32" ht="39.6">
      <c r="A491" s="852"/>
      <c r="B491" s="713" t="s">
        <v>48</v>
      </c>
      <c r="C491" s="465" t="s">
        <v>1706</v>
      </c>
      <c r="D491" s="554" t="s">
        <v>29</v>
      </c>
      <c r="E491" s="554"/>
      <c r="F491" s="554"/>
      <c r="G491" s="554"/>
      <c r="H491" s="466" t="s">
        <v>49</v>
      </c>
      <c r="I491" s="474" t="s">
        <v>34</v>
      </c>
      <c r="J491" s="1024" t="s">
        <v>1707</v>
      </c>
      <c r="K491" s="467"/>
      <c r="L491" s="545">
        <v>43467</v>
      </c>
      <c r="M491" s="545"/>
      <c r="N491" s="545"/>
      <c r="O491" s="540">
        <v>43647</v>
      </c>
      <c r="P491" s="471" t="s">
        <v>125</v>
      </c>
      <c r="Q491" s="761" t="s">
        <v>125</v>
      </c>
      <c r="R491" s="542">
        <v>18000</v>
      </c>
      <c r="S491" s="791" t="s">
        <v>109</v>
      </c>
      <c r="T491" s="470" t="s">
        <v>54</v>
      </c>
      <c r="U491" s="470"/>
      <c r="V491" s="470"/>
      <c r="W491" s="474" t="s">
        <v>406</v>
      </c>
      <c r="X491" s="114"/>
      <c r="Y491" s="114"/>
      <c r="Z491" s="114"/>
      <c r="AA491" s="180"/>
      <c r="AB491" s="180"/>
      <c r="AC491" s="114"/>
      <c r="AD491" s="303"/>
      <c r="AE491" s="180"/>
    </row>
    <row r="492" spans="1:32" ht="173.1" customHeight="1">
      <c r="A492" s="852"/>
      <c r="B492" s="713" t="s">
        <v>48</v>
      </c>
      <c r="C492" s="465" t="s">
        <v>188</v>
      </c>
      <c r="D492" s="554" t="s">
        <v>29</v>
      </c>
      <c r="E492" s="554"/>
      <c r="F492" s="554"/>
      <c r="G492" s="554"/>
      <c r="H492" s="466" t="s">
        <v>49</v>
      </c>
      <c r="I492" s="474" t="s">
        <v>34</v>
      </c>
      <c r="J492" s="1024" t="s">
        <v>1792</v>
      </c>
      <c r="K492" s="467"/>
      <c r="L492" s="485">
        <v>43584</v>
      </c>
      <c r="M492" s="485"/>
      <c r="N492" s="485"/>
      <c r="O492" s="485">
        <v>43647</v>
      </c>
      <c r="P492" s="471">
        <v>4</v>
      </c>
      <c r="Q492" s="471">
        <v>4</v>
      </c>
      <c r="R492" s="542">
        <v>254000</v>
      </c>
      <c r="S492" s="478" t="s">
        <v>125</v>
      </c>
      <c r="T492" s="470" t="s">
        <v>54</v>
      </c>
      <c r="U492" s="470"/>
      <c r="V492" s="470"/>
      <c r="W492" s="474" t="s">
        <v>1793</v>
      </c>
      <c r="X492" s="114"/>
      <c r="Y492" s="114"/>
      <c r="Z492" s="114"/>
      <c r="AA492" s="114"/>
      <c r="AB492" s="114"/>
      <c r="AC492" s="114"/>
      <c r="AD492" s="303"/>
      <c r="AE492" s="180"/>
    </row>
    <row r="493" spans="1:32" s="1" customFormat="1" ht="29.1" customHeight="1">
      <c r="A493" s="852"/>
      <c r="B493" s="713" t="s">
        <v>48</v>
      </c>
      <c r="C493" s="465" t="s">
        <v>188</v>
      </c>
      <c r="D493" s="554" t="s">
        <v>29</v>
      </c>
      <c r="E493" s="554"/>
      <c r="F493" s="554"/>
      <c r="G493" s="554"/>
      <c r="H493" s="466" t="s">
        <v>49</v>
      </c>
      <c r="I493" s="474" t="s">
        <v>34</v>
      </c>
      <c r="J493" s="1024" t="s">
        <v>1799</v>
      </c>
      <c r="K493" s="467"/>
      <c r="L493" s="560">
        <v>43556</v>
      </c>
      <c r="M493" s="560"/>
      <c r="N493" s="560"/>
      <c r="O493" s="485">
        <v>43647</v>
      </c>
      <c r="P493" s="556">
        <v>7</v>
      </c>
      <c r="Q493" s="471">
        <v>7</v>
      </c>
      <c r="R493" s="542">
        <v>550000</v>
      </c>
      <c r="S493" s="791" t="s">
        <v>125</v>
      </c>
      <c r="T493" s="470" t="s">
        <v>41</v>
      </c>
      <c r="U493" s="470"/>
      <c r="V493" s="470"/>
      <c r="W493" s="474" t="s">
        <v>1793</v>
      </c>
      <c r="X493" s="114"/>
      <c r="Y493" s="114"/>
      <c r="Z493" s="114"/>
      <c r="AA493" s="114"/>
      <c r="AB493" s="114"/>
      <c r="AC493" s="114"/>
      <c r="AD493" s="303"/>
      <c r="AE493" s="180"/>
      <c r="AF493"/>
    </row>
    <row r="494" spans="1:32" s="53" customFormat="1" ht="101.1" customHeight="1">
      <c r="A494" s="852"/>
      <c r="B494" s="713" t="s">
        <v>48</v>
      </c>
      <c r="C494" s="465" t="s">
        <v>1803</v>
      </c>
      <c r="D494" s="554" t="s">
        <v>29</v>
      </c>
      <c r="E494" s="554"/>
      <c r="F494" s="554"/>
      <c r="G494" s="554"/>
      <c r="H494" s="466" t="s">
        <v>49</v>
      </c>
      <c r="I494" s="474" t="s">
        <v>34</v>
      </c>
      <c r="J494" s="1024" t="s">
        <v>1804</v>
      </c>
      <c r="K494" s="467"/>
      <c r="L494" s="485">
        <v>43556</v>
      </c>
      <c r="M494" s="485"/>
      <c r="N494" s="485"/>
      <c r="O494" s="485">
        <v>43647</v>
      </c>
      <c r="P494" s="471" t="s">
        <v>125</v>
      </c>
      <c r="Q494" s="761" t="s">
        <v>35</v>
      </c>
      <c r="R494" s="542">
        <v>120000</v>
      </c>
      <c r="S494" s="791" t="s">
        <v>125</v>
      </c>
      <c r="T494" s="803" t="s">
        <v>54</v>
      </c>
      <c r="U494" s="470"/>
      <c r="V494" s="470"/>
      <c r="W494" s="474" t="s">
        <v>1802</v>
      </c>
      <c r="X494" s="114"/>
      <c r="Y494" s="114"/>
      <c r="Z494" s="114"/>
      <c r="AA494" s="180"/>
      <c r="AB494" s="180"/>
      <c r="AC494" s="114"/>
      <c r="AD494" s="303"/>
      <c r="AE494" s="180"/>
      <c r="AF494" s="321"/>
    </row>
    <row r="495" spans="1:32" s="1" customFormat="1" ht="43.35" customHeight="1">
      <c r="A495" s="852"/>
      <c r="B495" s="713" t="s">
        <v>48</v>
      </c>
      <c r="C495" s="1078" t="s">
        <v>188</v>
      </c>
      <c r="D495" s="466" t="s">
        <v>29</v>
      </c>
      <c r="E495" s="466"/>
      <c r="F495" s="466"/>
      <c r="G495" s="466"/>
      <c r="H495" s="466" t="s">
        <v>49</v>
      </c>
      <c r="I495" s="474" t="s">
        <v>34</v>
      </c>
      <c r="J495" s="1024" t="s">
        <v>1817</v>
      </c>
      <c r="K495" s="467"/>
      <c r="L495" s="485">
        <v>43598</v>
      </c>
      <c r="M495" s="485"/>
      <c r="N495" s="485"/>
      <c r="O495" s="485">
        <v>43647</v>
      </c>
      <c r="P495" s="471">
        <v>1</v>
      </c>
      <c r="Q495" s="471">
        <v>1</v>
      </c>
      <c r="R495" s="542" t="s">
        <v>125</v>
      </c>
      <c r="S495" s="478" t="s">
        <v>158</v>
      </c>
      <c r="T495" s="593" t="s">
        <v>54</v>
      </c>
      <c r="U495" s="470"/>
      <c r="V495" s="470"/>
      <c r="W495" s="474" t="s">
        <v>493</v>
      </c>
      <c r="X495" s="114"/>
      <c r="Y495" s="114"/>
      <c r="Z495" s="114"/>
      <c r="AA495" s="114"/>
      <c r="AB495" s="114"/>
      <c r="AC495" s="114"/>
      <c r="AD495" s="114"/>
      <c r="AE495" s="180"/>
      <c r="AF495"/>
    </row>
    <row r="496" spans="1:32" s="1" customFormat="1" ht="101.1" customHeight="1">
      <c r="A496" s="852"/>
      <c r="B496" s="713" t="s">
        <v>48</v>
      </c>
      <c r="C496" s="720" t="s">
        <v>188</v>
      </c>
      <c r="D496" s="466" t="s">
        <v>29</v>
      </c>
      <c r="E496" s="466"/>
      <c r="F496" s="466"/>
      <c r="G496" s="466"/>
      <c r="H496" s="466" t="s">
        <v>49</v>
      </c>
      <c r="I496" s="474" t="s">
        <v>34</v>
      </c>
      <c r="J496" s="1024" t="s">
        <v>1819</v>
      </c>
      <c r="K496" s="467"/>
      <c r="L496" s="485">
        <v>43586</v>
      </c>
      <c r="M496" s="485"/>
      <c r="N496" s="485"/>
      <c r="O496" s="485">
        <v>43647</v>
      </c>
      <c r="P496" s="471" t="s">
        <v>125</v>
      </c>
      <c r="Q496" s="471" t="s">
        <v>125</v>
      </c>
      <c r="R496" s="542">
        <v>30000</v>
      </c>
      <c r="S496" s="478" t="s">
        <v>125</v>
      </c>
      <c r="T496" s="803" t="s">
        <v>54</v>
      </c>
      <c r="U496" s="470"/>
      <c r="V496" s="470"/>
      <c r="W496" s="474" t="s">
        <v>1802</v>
      </c>
      <c r="X496" s="114"/>
      <c r="Y496" s="114"/>
      <c r="Z496" s="114"/>
      <c r="AA496" s="114"/>
      <c r="AB496" s="114"/>
      <c r="AC496" s="114"/>
      <c r="AD496"/>
      <c r="AE496" s="180"/>
      <c r="AF496"/>
    </row>
    <row r="497" spans="1:32" s="1" customFormat="1" ht="79.2">
      <c r="A497" s="852"/>
      <c r="B497" s="713" t="s">
        <v>48</v>
      </c>
      <c r="C497" s="720" t="s">
        <v>1840</v>
      </c>
      <c r="D497" s="466" t="s">
        <v>29</v>
      </c>
      <c r="E497" s="466"/>
      <c r="F497" s="466"/>
      <c r="G497" s="466"/>
      <c r="H497" s="466" t="s">
        <v>49</v>
      </c>
      <c r="I497" s="474" t="s">
        <v>34</v>
      </c>
      <c r="J497" s="1024" t="s">
        <v>1841</v>
      </c>
      <c r="K497" s="467"/>
      <c r="L497" s="485">
        <v>43563</v>
      </c>
      <c r="M497" s="485"/>
      <c r="N497" s="485"/>
      <c r="O497" s="485">
        <v>43647</v>
      </c>
      <c r="P497" s="471">
        <v>3</v>
      </c>
      <c r="Q497" s="471">
        <v>3</v>
      </c>
      <c r="R497" s="542">
        <v>181000</v>
      </c>
      <c r="S497" s="478" t="s">
        <v>1824</v>
      </c>
      <c r="T497" s="803" t="s">
        <v>54</v>
      </c>
      <c r="U497" s="470"/>
      <c r="V497" s="470"/>
      <c r="W497" s="474" t="s">
        <v>1793</v>
      </c>
      <c r="X497" s="114"/>
      <c r="Y497" s="114"/>
      <c r="Z497" s="114"/>
      <c r="AA497" s="114"/>
      <c r="AB497" s="114"/>
      <c r="AC497" s="114"/>
      <c r="AD497"/>
      <c r="AE497" s="180"/>
      <c r="AF497" s="53"/>
    </row>
    <row r="498" spans="1:32" s="1" customFormat="1" ht="14.4" customHeight="1">
      <c r="A498" s="852"/>
      <c r="B498" s="713" t="s">
        <v>48</v>
      </c>
      <c r="C498" s="720" t="s">
        <v>1842</v>
      </c>
      <c r="D498" s="466" t="s">
        <v>29</v>
      </c>
      <c r="E498" s="466"/>
      <c r="F498" s="466"/>
      <c r="G498" s="466"/>
      <c r="H498" s="466" t="s">
        <v>49</v>
      </c>
      <c r="I498" s="474" t="s">
        <v>34</v>
      </c>
      <c r="J498" s="1024" t="s">
        <v>1843</v>
      </c>
      <c r="K498" s="467"/>
      <c r="L498" s="485">
        <v>43556</v>
      </c>
      <c r="M498" s="485"/>
      <c r="N498" s="485"/>
      <c r="O498" s="485">
        <v>43647</v>
      </c>
      <c r="P498" s="471">
        <v>4</v>
      </c>
      <c r="Q498" s="471">
        <v>4</v>
      </c>
      <c r="R498" s="542">
        <v>1400000</v>
      </c>
      <c r="S498" s="478" t="s">
        <v>158</v>
      </c>
      <c r="T498" s="803" t="s">
        <v>54</v>
      </c>
      <c r="U498" s="470"/>
      <c r="V498" s="470"/>
      <c r="W498" s="474" t="s">
        <v>1785</v>
      </c>
      <c r="X498" s="114"/>
      <c r="Y498" s="114"/>
      <c r="Z498" s="114"/>
      <c r="AA498" s="114"/>
      <c r="AB498" s="114"/>
      <c r="AC498" s="114"/>
      <c r="AD498"/>
      <c r="AE498" s="180"/>
    </row>
    <row r="499" spans="1:32" s="1" customFormat="1" ht="43.35" customHeight="1">
      <c r="A499" s="852"/>
      <c r="B499" s="713" t="s">
        <v>48</v>
      </c>
      <c r="C499" s="720" t="s">
        <v>1858</v>
      </c>
      <c r="D499" s="466" t="s">
        <v>29</v>
      </c>
      <c r="E499" s="466"/>
      <c r="F499" s="466"/>
      <c r="G499" s="466"/>
      <c r="H499" s="466" t="s">
        <v>49</v>
      </c>
      <c r="I499" s="474" t="s">
        <v>34</v>
      </c>
      <c r="J499" s="1024" t="s">
        <v>1859</v>
      </c>
      <c r="K499" s="467"/>
      <c r="L499" s="485">
        <v>43598</v>
      </c>
      <c r="M499" s="485"/>
      <c r="N499" s="485"/>
      <c r="O499" s="485">
        <v>43647</v>
      </c>
      <c r="P499" s="471">
        <v>1</v>
      </c>
      <c r="Q499" s="471">
        <v>1</v>
      </c>
      <c r="R499" s="542">
        <v>100000</v>
      </c>
      <c r="S499" s="478" t="s">
        <v>1163</v>
      </c>
      <c r="T499" s="803" t="s">
        <v>54</v>
      </c>
      <c r="U499" s="470"/>
      <c r="V499" s="470"/>
      <c r="W499" s="474" t="s">
        <v>493</v>
      </c>
      <c r="X499" s="114"/>
      <c r="Y499" s="114"/>
      <c r="Z499" s="114"/>
      <c r="AA499" s="114"/>
      <c r="AB499" s="114"/>
      <c r="AC499" s="114"/>
      <c r="AD499"/>
      <c r="AE499" s="180"/>
      <c r="AF499" s="3"/>
    </row>
    <row r="500" spans="1:32" s="1" customFormat="1" ht="29.1" customHeight="1">
      <c r="A500" s="852"/>
      <c r="B500" s="713" t="s">
        <v>48</v>
      </c>
      <c r="C500" s="720" t="s">
        <v>1912</v>
      </c>
      <c r="D500" s="466" t="s">
        <v>82</v>
      </c>
      <c r="E500" s="466"/>
      <c r="F500" s="466"/>
      <c r="G500" s="466"/>
      <c r="H500" s="466" t="s">
        <v>49</v>
      </c>
      <c r="I500" s="474" t="s">
        <v>34</v>
      </c>
      <c r="J500" s="1024" t="s">
        <v>1913</v>
      </c>
      <c r="K500" s="467"/>
      <c r="L500" s="485">
        <v>43521</v>
      </c>
      <c r="M500" s="485"/>
      <c r="N500" s="485"/>
      <c r="O500" s="485">
        <v>43647</v>
      </c>
      <c r="P500" s="471" t="s">
        <v>125</v>
      </c>
      <c r="Q500" s="471" t="s">
        <v>125</v>
      </c>
      <c r="R500" s="542">
        <v>410000</v>
      </c>
      <c r="S500" s="478" t="s">
        <v>1824</v>
      </c>
      <c r="T500" s="803" t="s">
        <v>36</v>
      </c>
      <c r="U500" s="470"/>
      <c r="V500" s="470"/>
      <c r="W500" s="488" t="s">
        <v>1467</v>
      </c>
      <c r="X500" s="114"/>
      <c r="Y500" s="114"/>
      <c r="Z500" s="114"/>
      <c r="AA500" s="114"/>
      <c r="AB500" s="114"/>
      <c r="AC500" s="114"/>
      <c r="AD500"/>
      <c r="AE500" s="180"/>
      <c r="AF500"/>
    </row>
    <row r="501" spans="1:32" s="1" customFormat="1" ht="72" customHeight="1">
      <c r="A501" s="852"/>
      <c r="B501" s="713" t="s">
        <v>48</v>
      </c>
      <c r="C501" s="720" t="s">
        <v>1954</v>
      </c>
      <c r="D501" s="466" t="s">
        <v>60</v>
      </c>
      <c r="E501" s="466"/>
      <c r="F501" s="466"/>
      <c r="G501" s="466"/>
      <c r="H501" s="466" t="s">
        <v>127</v>
      </c>
      <c r="I501" s="474" t="s">
        <v>34</v>
      </c>
      <c r="J501" s="1024" t="s">
        <v>1955</v>
      </c>
      <c r="K501" s="467"/>
      <c r="L501" s="485">
        <v>43598</v>
      </c>
      <c r="M501" s="485"/>
      <c r="N501" s="485"/>
      <c r="O501" s="485">
        <v>43647</v>
      </c>
      <c r="P501" s="471">
        <v>1</v>
      </c>
      <c r="Q501" s="471">
        <v>1</v>
      </c>
      <c r="R501" s="542">
        <v>1786377</v>
      </c>
      <c r="S501" s="478" t="s">
        <v>1663</v>
      </c>
      <c r="T501" s="803" t="s">
        <v>144</v>
      </c>
      <c r="U501" s="470"/>
      <c r="V501" s="470"/>
      <c r="W501" s="488" t="s">
        <v>1133</v>
      </c>
      <c r="X501" s="114"/>
      <c r="Y501" s="114"/>
      <c r="Z501" s="114"/>
      <c r="AA501" s="114"/>
      <c r="AB501" s="114"/>
      <c r="AC501" s="114"/>
      <c r="AD501"/>
      <c r="AE501" s="180"/>
    </row>
    <row r="502" spans="1:32" s="1" customFormat="1" ht="52.8">
      <c r="A502" s="852"/>
      <c r="B502" s="713" t="s">
        <v>48</v>
      </c>
      <c r="C502" s="720" t="s">
        <v>125</v>
      </c>
      <c r="D502" s="466" t="s">
        <v>82</v>
      </c>
      <c r="E502" s="466"/>
      <c r="F502" s="466"/>
      <c r="G502" s="466"/>
      <c r="H502" s="466" t="s">
        <v>49</v>
      </c>
      <c r="I502" s="474" t="s">
        <v>34</v>
      </c>
      <c r="J502" s="1024" t="s">
        <v>1999</v>
      </c>
      <c r="K502" s="467"/>
      <c r="L502" s="485" t="s">
        <v>125</v>
      </c>
      <c r="M502" s="485"/>
      <c r="N502" s="485"/>
      <c r="O502" s="485">
        <v>43647</v>
      </c>
      <c r="P502" s="471" t="s">
        <v>125</v>
      </c>
      <c r="Q502" s="471" t="s">
        <v>125</v>
      </c>
      <c r="R502" s="542">
        <v>4000000</v>
      </c>
      <c r="S502" s="478" t="s">
        <v>125</v>
      </c>
      <c r="T502" s="803" t="s">
        <v>144</v>
      </c>
      <c r="U502" s="470"/>
      <c r="V502" s="470"/>
      <c r="W502" s="488" t="s">
        <v>1467</v>
      </c>
      <c r="X502"/>
      <c r="Y502" s="114"/>
      <c r="Z502" s="114"/>
      <c r="AA502" s="114"/>
      <c r="AB502" s="114"/>
      <c r="AC502" s="114"/>
      <c r="AD502"/>
      <c r="AE502" s="180"/>
      <c r="AF502" s="34"/>
    </row>
    <row r="503" spans="1:32" s="1" customFormat="1" ht="43.35" customHeight="1">
      <c r="A503" s="1061">
        <v>44974</v>
      </c>
      <c r="B503" s="1020" t="s">
        <v>210</v>
      </c>
      <c r="C503" s="1075" t="s">
        <v>3239</v>
      </c>
      <c r="D503" s="1072" t="s">
        <v>209</v>
      </c>
      <c r="E503" s="1066" t="s">
        <v>210</v>
      </c>
      <c r="F503" s="1066" t="s">
        <v>190</v>
      </c>
      <c r="G503" s="1066" t="s">
        <v>190</v>
      </c>
      <c r="H503" s="1066" t="s">
        <v>190</v>
      </c>
      <c r="I503" s="1066" t="s">
        <v>190</v>
      </c>
      <c r="J503" s="1095" t="s">
        <v>3240</v>
      </c>
      <c r="K503" s="1072" t="s">
        <v>3241</v>
      </c>
      <c r="L503" s="1066" t="s">
        <v>190</v>
      </c>
      <c r="M503" s="1066" t="s">
        <v>190</v>
      </c>
      <c r="N503" s="1066" t="s">
        <v>190</v>
      </c>
      <c r="O503" s="1142">
        <v>43647</v>
      </c>
      <c r="P503" s="1142">
        <v>45107</v>
      </c>
      <c r="Q503" s="1142">
        <v>45107</v>
      </c>
      <c r="R503" s="1176">
        <v>450000</v>
      </c>
      <c r="S503" s="1072" t="s">
        <v>203</v>
      </c>
      <c r="T503" s="1204" t="s">
        <v>190</v>
      </c>
      <c r="U503" s="1066" t="s">
        <v>190</v>
      </c>
      <c r="V503" s="1066"/>
      <c r="W503" s="1072" t="s">
        <v>293</v>
      </c>
      <c r="X503" s="1072" t="s">
        <v>1346</v>
      </c>
      <c r="Y503" s="1072" t="s">
        <v>1266</v>
      </c>
      <c r="Z503" s="1066" t="s">
        <v>190</v>
      </c>
      <c r="AA503" s="1066" t="s">
        <v>190</v>
      </c>
      <c r="AB503" s="1066" t="s">
        <v>190</v>
      </c>
      <c r="AC503" s="1095" t="s">
        <v>3242</v>
      </c>
      <c r="AD503" s="1068" t="s">
        <v>190</v>
      </c>
      <c r="AE503" s="1254">
        <v>450000</v>
      </c>
      <c r="AF503"/>
    </row>
    <row r="504" spans="1:32" s="1" customFormat="1" ht="14.4" customHeight="1">
      <c r="A504" s="888"/>
      <c r="B504" s="141" t="s">
        <v>28</v>
      </c>
      <c r="C504" s="67" t="s">
        <v>3243</v>
      </c>
      <c r="D504" s="9" t="s">
        <v>29</v>
      </c>
      <c r="E504" s="9"/>
      <c r="F504" s="9"/>
      <c r="G504" s="9"/>
      <c r="H504" s="5" t="s">
        <v>70</v>
      </c>
      <c r="I504" s="5" t="s">
        <v>34</v>
      </c>
      <c r="J504" s="16" t="s">
        <v>2632</v>
      </c>
      <c r="K504" s="8"/>
      <c r="L504" s="8"/>
      <c r="M504" s="14">
        <v>43466</v>
      </c>
      <c r="N504" s="14"/>
      <c r="O504" s="14">
        <v>43650</v>
      </c>
      <c r="P504" s="12">
        <v>48</v>
      </c>
      <c r="Q504" s="5" t="s">
        <v>3244</v>
      </c>
      <c r="R504" s="18">
        <v>3916.3</v>
      </c>
      <c r="S504" s="5" t="s">
        <v>109</v>
      </c>
      <c r="T504" s="155" t="s">
        <v>54</v>
      </c>
      <c r="U504" s="4"/>
      <c r="V504" s="4"/>
      <c r="W504" s="5" t="s">
        <v>1140</v>
      </c>
      <c r="X504" s="5" t="s">
        <v>150</v>
      </c>
      <c r="Y504" s="5" t="s">
        <v>457</v>
      </c>
      <c r="Z504" s="5"/>
      <c r="AA504" s="5"/>
      <c r="AB504" s="193">
        <v>43696</v>
      </c>
      <c r="AC504" s="32" t="s">
        <v>3200</v>
      </c>
      <c r="AE504" s="158"/>
      <c r="AF504"/>
    </row>
    <row r="505" spans="1:32" s="1" customFormat="1" ht="52.8">
      <c r="A505" s="852"/>
      <c r="B505" s="713" t="s">
        <v>48</v>
      </c>
      <c r="C505" s="720" t="s">
        <v>1932</v>
      </c>
      <c r="D505" s="466" t="s">
        <v>60</v>
      </c>
      <c r="E505" s="466"/>
      <c r="F505" s="466"/>
      <c r="G505" s="466"/>
      <c r="H505" s="466" t="s">
        <v>127</v>
      </c>
      <c r="I505" s="474" t="s">
        <v>34</v>
      </c>
      <c r="J505" s="1024" t="s">
        <v>1933</v>
      </c>
      <c r="K505" s="467"/>
      <c r="L505" s="485">
        <v>43647</v>
      </c>
      <c r="M505" s="485"/>
      <c r="N505" s="485"/>
      <c r="O505" s="485">
        <v>43654</v>
      </c>
      <c r="P505" s="471">
        <v>1</v>
      </c>
      <c r="Q505" s="471">
        <v>1</v>
      </c>
      <c r="R505" s="542">
        <v>500000</v>
      </c>
      <c r="S505" s="478" t="s">
        <v>1663</v>
      </c>
      <c r="T505" s="803" t="s">
        <v>36</v>
      </c>
      <c r="U505" s="470"/>
      <c r="V505" s="470"/>
      <c r="W505" s="488" t="s">
        <v>1133</v>
      </c>
      <c r="X505" s="114"/>
      <c r="Y505" s="114"/>
      <c r="Z505" s="114"/>
      <c r="AA505" s="114"/>
      <c r="AB505" s="114"/>
      <c r="AC505" s="114"/>
      <c r="AD505"/>
      <c r="AE505" s="180"/>
    </row>
    <row r="506" spans="1:32" s="1" customFormat="1" ht="52.8">
      <c r="A506" s="852"/>
      <c r="B506" s="713" t="s">
        <v>48</v>
      </c>
      <c r="C506" s="720" t="s">
        <v>1924</v>
      </c>
      <c r="D506" s="466" t="s">
        <v>60</v>
      </c>
      <c r="E506" s="466"/>
      <c r="F506" s="466"/>
      <c r="G506" s="466"/>
      <c r="H506" s="466" t="s">
        <v>127</v>
      </c>
      <c r="I506" s="474" t="s">
        <v>34</v>
      </c>
      <c r="J506" s="1024" t="s">
        <v>1925</v>
      </c>
      <c r="K506" s="467"/>
      <c r="L506" s="485">
        <v>43626</v>
      </c>
      <c r="M506" s="485"/>
      <c r="N506" s="485"/>
      <c r="O506" s="485">
        <v>43661</v>
      </c>
      <c r="P506" s="471">
        <v>1</v>
      </c>
      <c r="Q506" s="471">
        <v>1</v>
      </c>
      <c r="R506" s="542">
        <v>300000</v>
      </c>
      <c r="S506" s="478" t="s">
        <v>1663</v>
      </c>
      <c r="T506" s="803" t="s">
        <v>36</v>
      </c>
      <c r="U506" s="470"/>
      <c r="V506" s="470"/>
      <c r="W506" s="488" t="s">
        <v>1133</v>
      </c>
      <c r="X506" s="114"/>
      <c r="Y506" s="114"/>
      <c r="Z506" s="114"/>
      <c r="AA506" s="114"/>
      <c r="AB506" s="114"/>
      <c r="AC506" s="114"/>
      <c r="AD506"/>
      <c r="AE506" s="180"/>
      <c r="AF506" s="53"/>
    </row>
    <row r="507" spans="1:32" s="1" customFormat="1" ht="57.6" customHeight="1">
      <c r="A507" s="888"/>
      <c r="B507" s="141" t="s">
        <v>28</v>
      </c>
      <c r="C507" s="1076"/>
      <c r="D507" s="5" t="s">
        <v>29</v>
      </c>
      <c r="E507" s="5"/>
      <c r="F507" s="5"/>
      <c r="G507" s="5"/>
      <c r="H507" s="5" t="s">
        <v>81</v>
      </c>
      <c r="I507" s="5" t="s">
        <v>34</v>
      </c>
      <c r="J507" s="16" t="s">
        <v>3245</v>
      </c>
      <c r="K507" s="8"/>
      <c r="L507" s="8"/>
      <c r="M507" s="193">
        <v>43552</v>
      </c>
      <c r="N507" s="193"/>
      <c r="O507" s="193">
        <v>43662</v>
      </c>
      <c r="P507" s="12">
        <v>24</v>
      </c>
      <c r="Q507" s="12" t="s">
        <v>366</v>
      </c>
      <c r="R507" s="106">
        <v>280000</v>
      </c>
      <c r="S507" s="5" t="s">
        <v>109</v>
      </c>
      <c r="T507" s="155" t="s">
        <v>35</v>
      </c>
      <c r="U507" s="4"/>
      <c r="V507" s="4"/>
      <c r="W507" s="5" t="s">
        <v>808</v>
      </c>
      <c r="X507" s="5" t="s">
        <v>2919</v>
      </c>
      <c r="Y507" s="5" t="s">
        <v>457</v>
      </c>
      <c r="Z507" s="5"/>
      <c r="AA507" s="5"/>
      <c r="AB507" s="1386">
        <v>43768</v>
      </c>
      <c r="AC507" s="8" t="s">
        <v>3246</v>
      </c>
      <c r="AE507" s="158"/>
      <c r="AF507" s="53"/>
    </row>
    <row r="508" spans="1:32" s="1" customFormat="1" ht="29.1" customHeight="1">
      <c r="A508" s="852"/>
      <c r="B508" s="713" t="s">
        <v>48</v>
      </c>
      <c r="C508" s="720" t="s">
        <v>1878</v>
      </c>
      <c r="D508" s="466" t="s">
        <v>60</v>
      </c>
      <c r="E508" s="466"/>
      <c r="F508" s="466"/>
      <c r="G508" s="466"/>
      <c r="H508" s="466" t="s">
        <v>127</v>
      </c>
      <c r="I508" s="474" t="s">
        <v>34</v>
      </c>
      <c r="J508" s="1024" t="s">
        <v>1879</v>
      </c>
      <c r="K508" s="467"/>
      <c r="L508" s="485">
        <v>43525</v>
      </c>
      <c r="M508" s="485"/>
      <c r="N508" s="485"/>
      <c r="O508" s="485">
        <v>43665</v>
      </c>
      <c r="P508" s="471">
        <v>1</v>
      </c>
      <c r="Q508" s="471">
        <v>1</v>
      </c>
      <c r="R508" s="542">
        <v>3120</v>
      </c>
      <c r="S508" s="478" t="s">
        <v>909</v>
      </c>
      <c r="T508" s="803" t="s">
        <v>54</v>
      </c>
      <c r="U508" s="470"/>
      <c r="V508" s="470"/>
      <c r="W508" s="474" t="s">
        <v>1413</v>
      </c>
      <c r="X508" s="114"/>
      <c r="Y508" s="114"/>
      <c r="Z508" s="114"/>
      <c r="AA508" s="114"/>
      <c r="AB508" s="114"/>
      <c r="AC508" s="114"/>
      <c r="AD508"/>
      <c r="AE508" s="180"/>
    </row>
    <row r="509" spans="1:32" s="1" customFormat="1" ht="66">
      <c r="A509" s="852"/>
      <c r="B509" s="713" t="s">
        <v>48</v>
      </c>
      <c r="C509" s="720" t="s">
        <v>1895</v>
      </c>
      <c r="D509" s="466" t="s">
        <v>60</v>
      </c>
      <c r="E509" s="466"/>
      <c r="F509" s="466"/>
      <c r="G509" s="466"/>
      <c r="H509" s="466" t="s">
        <v>127</v>
      </c>
      <c r="I509" s="474" t="s">
        <v>34</v>
      </c>
      <c r="J509" s="1024" t="s">
        <v>1896</v>
      </c>
      <c r="K509" s="467"/>
      <c r="L509" s="485">
        <v>43551</v>
      </c>
      <c r="M509" s="485"/>
      <c r="N509" s="485"/>
      <c r="O509" s="485">
        <v>43666</v>
      </c>
      <c r="P509" s="471" t="s">
        <v>125</v>
      </c>
      <c r="Q509" s="471" t="s">
        <v>35</v>
      </c>
      <c r="R509" s="542">
        <v>193900</v>
      </c>
      <c r="S509" s="478" t="s">
        <v>1663</v>
      </c>
      <c r="T509" s="803" t="s">
        <v>54</v>
      </c>
      <c r="U509" s="470"/>
      <c r="V509" s="470"/>
      <c r="W509" s="474" t="s">
        <v>1897</v>
      </c>
      <c r="X509" s="114"/>
      <c r="Y509" s="114"/>
      <c r="Z509" s="114"/>
      <c r="AA509" s="114"/>
      <c r="AB509" s="114"/>
      <c r="AC509" s="114"/>
      <c r="AD509"/>
      <c r="AE509" s="180"/>
    </row>
    <row r="510" spans="1:32" s="1" customFormat="1" ht="57.6" customHeight="1">
      <c r="A510" s="852"/>
      <c r="B510" s="713" t="s">
        <v>48</v>
      </c>
      <c r="C510" s="720" t="s">
        <v>1926</v>
      </c>
      <c r="D510" s="466" t="s">
        <v>60</v>
      </c>
      <c r="E510" s="466"/>
      <c r="F510" s="466"/>
      <c r="G510" s="466"/>
      <c r="H510" s="466" t="s">
        <v>127</v>
      </c>
      <c r="I510" s="474" t="s">
        <v>34</v>
      </c>
      <c r="J510" s="1024" t="s">
        <v>1927</v>
      </c>
      <c r="K510" s="467"/>
      <c r="L510" s="485">
        <v>43633</v>
      </c>
      <c r="M510" s="485"/>
      <c r="N510" s="485"/>
      <c r="O510" s="485">
        <v>43666</v>
      </c>
      <c r="P510" s="485" t="s">
        <v>188</v>
      </c>
      <c r="Q510" s="485" t="s">
        <v>188</v>
      </c>
      <c r="R510" s="542">
        <v>40000</v>
      </c>
      <c r="S510" s="478" t="s">
        <v>1663</v>
      </c>
      <c r="T510" s="803" t="s">
        <v>465</v>
      </c>
      <c r="U510" s="470"/>
      <c r="V510" s="470"/>
      <c r="W510" s="488" t="s">
        <v>1133</v>
      </c>
      <c r="X510" s="114"/>
      <c r="Y510" s="114"/>
      <c r="Z510" s="114"/>
      <c r="AA510" s="114"/>
      <c r="AB510" s="114"/>
      <c r="AC510" s="114"/>
      <c r="AD510"/>
      <c r="AE510" s="180"/>
    </row>
    <row r="511" spans="1:32" s="1" customFormat="1" ht="43.35" customHeight="1">
      <c r="A511" s="852"/>
      <c r="B511" s="713" t="s">
        <v>48</v>
      </c>
      <c r="C511" s="720" t="s">
        <v>1825</v>
      </c>
      <c r="D511" s="466" t="s">
        <v>29</v>
      </c>
      <c r="E511" s="466"/>
      <c r="F511" s="466"/>
      <c r="G511" s="466"/>
      <c r="H511" s="466" t="s">
        <v>49</v>
      </c>
      <c r="I511" s="474" t="s">
        <v>34</v>
      </c>
      <c r="J511" s="1024" t="s">
        <v>1826</v>
      </c>
      <c r="K511" s="467"/>
      <c r="L511" s="485">
        <v>43586</v>
      </c>
      <c r="M511" s="485"/>
      <c r="N511" s="485"/>
      <c r="O511" s="485">
        <v>43668</v>
      </c>
      <c r="P511" s="471">
        <v>1</v>
      </c>
      <c r="Q511" s="471">
        <v>1</v>
      </c>
      <c r="R511" s="542">
        <f>134000+116000+120000</f>
        <v>370000</v>
      </c>
      <c r="S511" s="478" t="s">
        <v>1163</v>
      </c>
      <c r="T511" s="803" t="s">
        <v>41</v>
      </c>
      <c r="U511" s="470"/>
      <c r="V511" s="470"/>
      <c r="W511" s="474" t="s">
        <v>1827</v>
      </c>
      <c r="X511" s="114"/>
      <c r="Y511" s="114"/>
      <c r="Z511" s="114"/>
      <c r="AA511" s="114"/>
      <c r="AB511" s="114"/>
      <c r="AC511" s="114"/>
      <c r="AD511"/>
      <c r="AE511" s="180"/>
      <c r="AF511" s="53"/>
    </row>
    <row r="512" spans="1:32" s="1" customFormat="1" ht="43.35" customHeight="1">
      <c r="A512" s="852"/>
      <c r="B512" s="713" t="s">
        <v>48</v>
      </c>
      <c r="C512" s="720" t="s">
        <v>1900</v>
      </c>
      <c r="D512" s="466" t="s">
        <v>60</v>
      </c>
      <c r="E512" s="466"/>
      <c r="F512" s="466"/>
      <c r="G512" s="466"/>
      <c r="H512" s="466" t="s">
        <v>127</v>
      </c>
      <c r="I512" s="474" t="s">
        <v>34</v>
      </c>
      <c r="J512" s="1024" t="s">
        <v>1901</v>
      </c>
      <c r="K512" s="467"/>
      <c r="L512" s="485">
        <v>43592</v>
      </c>
      <c r="M512" s="485"/>
      <c r="N512" s="485"/>
      <c r="O512" s="485">
        <v>43668</v>
      </c>
      <c r="P512" s="471">
        <v>2</v>
      </c>
      <c r="Q512" s="471">
        <v>2</v>
      </c>
      <c r="R512" s="542">
        <v>509285</v>
      </c>
      <c r="S512" s="478" t="s">
        <v>1663</v>
      </c>
      <c r="T512" s="803" t="s">
        <v>54</v>
      </c>
      <c r="U512" s="470"/>
      <c r="V512" s="470"/>
      <c r="W512" s="474" t="s">
        <v>1684</v>
      </c>
      <c r="X512" s="114"/>
      <c r="Y512" s="114"/>
      <c r="Z512" s="114"/>
      <c r="AA512" s="114"/>
      <c r="AB512" s="114"/>
      <c r="AC512" s="114"/>
      <c r="AD512"/>
      <c r="AE512" s="180"/>
      <c r="AF512" s="53"/>
    </row>
    <row r="513" spans="1:32" s="1" customFormat="1" ht="39.6">
      <c r="A513" s="852"/>
      <c r="B513" s="713" t="s">
        <v>48</v>
      </c>
      <c r="C513" s="720" t="s">
        <v>1914</v>
      </c>
      <c r="D513" s="466" t="s">
        <v>82</v>
      </c>
      <c r="E513" s="466"/>
      <c r="F513" s="466"/>
      <c r="G513" s="466"/>
      <c r="H513" s="466" t="s">
        <v>49</v>
      </c>
      <c r="I513" s="474" t="s">
        <v>34</v>
      </c>
      <c r="J513" s="1024" t="s">
        <v>1915</v>
      </c>
      <c r="K513" s="467"/>
      <c r="L513" s="560">
        <v>43586</v>
      </c>
      <c r="M513" s="560"/>
      <c r="N513" s="560"/>
      <c r="O513" s="485">
        <v>43668</v>
      </c>
      <c r="P513" s="471">
        <v>1</v>
      </c>
      <c r="Q513" s="471">
        <v>1</v>
      </c>
      <c r="R513" s="542">
        <v>46000</v>
      </c>
      <c r="S513" s="478" t="s">
        <v>125</v>
      </c>
      <c r="T513" s="803" t="s">
        <v>36</v>
      </c>
      <c r="U513" s="470"/>
      <c r="V513" s="470"/>
      <c r="W513" s="488" t="s">
        <v>1467</v>
      </c>
      <c r="X513" s="114"/>
      <c r="Y513" s="114"/>
      <c r="Z513" s="114"/>
      <c r="AA513" s="114"/>
      <c r="AB513" s="114"/>
      <c r="AC513" s="114"/>
      <c r="AD513"/>
      <c r="AE513" s="180"/>
      <c r="AF513" s="53"/>
    </row>
    <row r="514" spans="1:32" s="1" customFormat="1" ht="57.6" customHeight="1">
      <c r="A514" s="852"/>
      <c r="B514" s="713" t="s">
        <v>48</v>
      </c>
      <c r="C514" s="720" t="s">
        <v>1930</v>
      </c>
      <c r="D514" s="466" t="s">
        <v>60</v>
      </c>
      <c r="E514" s="466"/>
      <c r="F514" s="466"/>
      <c r="G514" s="466"/>
      <c r="H514" s="466" t="s">
        <v>127</v>
      </c>
      <c r="I514" s="474" t="s">
        <v>34</v>
      </c>
      <c r="J514" s="1024" t="s">
        <v>1931</v>
      </c>
      <c r="K514" s="467"/>
      <c r="L514" s="485">
        <v>43647</v>
      </c>
      <c r="M514" s="485"/>
      <c r="N514" s="485"/>
      <c r="O514" s="485">
        <v>43668</v>
      </c>
      <c r="P514" s="471">
        <v>1</v>
      </c>
      <c r="Q514" s="471">
        <v>1</v>
      </c>
      <c r="R514" s="542">
        <v>450000</v>
      </c>
      <c r="S514" s="478" t="s">
        <v>1663</v>
      </c>
      <c r="T514" s="803" t="s">
        <v>36</v>
      </c>
      <c r="U514" s="470"/>
      <c r="V514" s="470"/>
      <c r="W514" s="488" t="s">
        <v>1133</v>
      </c>
      <c r="X514" s="114"/>
      <c r="Y514" s="114"/>
      <c r="Z514" s="114"/>
      <c r="AA514" s="114"/>
      <c r="AB514" s="114"/>
      <c r="AC514" s="114"/>
      <c r="AD514"/>
      <c r="AE514" s="180"/>
      <c r="AF514"/>
    </row>
    <row r="515" spans="1:32" s="1" customFormat="1" ht="39.6">
      <c r="A515" s="852"/>
      <c r="B515" s="713" t="s">
        <v>48</v>
      </c>
      <c r="C515" s="720" t="s">
        <v>1860</v>
      </c>
      <c r="D515" s="466" t="s">
        <v>29</v>
      </c>
      <c r="E515" s="466"/>
      <c r="F515" s="466"/>
      <c r="G515" s="466"/>
      <c r="H515" s="466" t="s">
        <v>49</v>
      </c>
      <c r="I515" s="474" t="s">
        <v>34</v>
      </c>
      <c r="J515" s="1024" t="s">
        <v>1861</v>
      </c>
      <c r="K515" s="467"/>
      <c r="L515" s="485">
        <v>43586</v>
      </c>
      <c r="M515" s="485"/>
      <c r="N515" s="485"/>
      <c r="O515" s="485">
        <v>43675</v>
      </c>
      <c r="P515" s="471">
        <v>1</v>
      </c>
      <c r="Q515" s="471">
        <v>1</v>
      </c>
      <c r="R515" s="542">
        <v>85000</v>
      </c>
      <c r="S515" s="478" t="s">
        <v>1163</v>
      </c>
      <c r="T515" s="803" t="s">
        <v>54</v>
      </c>
      <c r="U515" s="470"/>
      <c r="V515" s="470"/>
      <c r="W515" s="474" t="s">
        <v>1793</v>
      </c>
      <c r="X515" s="114"/>
      <c r="Y515" s="114"/>
      <c r="Z515" s="114"/>
      <c r="AA515" s="114"/>
      <c r="AB515" s="114"/>
      <c r="AC515" s="114"/>
      <c r="AD515"/>
      <c r="AE515" s="180"/>
      <c r="AF515"/>
    </row>
    <row r="516" spans="1:32" s="1" customFormat="1" ht="52.8">
      <c r="A516" s="852"/>
      <c r="B516" s="713" t="s">
        <v>48</v>
      </c>
      <c r="C516" s="720" t="s">
        <v>1956</v>
      </c>
      <c r="D516" s="466" t="s">
        <v>60</v>
      </c>
      <c r="E516" s="466"/>
      <c r="F516" s="466"/>
      <c r="G516" s="466"/>
      <c r="H516" s="466" t="s">
        <v>127</v>
      </c>
      <c r="I516" s="465" t="s">
        <v>34</v>
      </c>
      <c r="J516" s="1025" t="s">
        <v>1957</v>
      </c>
      <c r="K516" s="488"/>
      <c r="L516" s="485">
        <v>43633</v>
      </c>
      <c r="M516" s="485"/>
      <c r="N516" s="485"/>
      <c r="O516" s="485">
        <v>43675</v>
      </c>
      <c r="P516" s="471">
        <v>5</v>
      </c>
      <c r="Q516" s="471">
        <v>5</v>
      </c>
      <c r="R516" s="542">
        <v>700000</v>
      </c>
      <c r="S516" s="478" t="s">
        <v>1663</v>
      </c>
      <c r="T516" s="803" t="s">
        <v>144</v>
      </c>
      <c r="U516" s="470"/>
      <c r="V516" s="470"/>
      <c r="W516" s="488" t="s">
        <v>1133</v>
      </c>
      <c r="X516" s="114"/>
      <c r="Y516" s="114"/>
      <c r="Z516" s="114"/>
      <c r="AA516" s="114"/>
      <c r="AB516" s="114"/>
      <c r="AC516" s="114"/>
      <c r="AD516"/>
      <c r="AE516" s="180"/>
      <c r="AF516"/>
    </row>
    <row r="517" spans="1:32" s="1" customFormat="1" ht="72">
      <c r="A517" s="888"/>
      <c r="B517" s="141" t="s">
        <v>28</v>
      </c>
      <c r="C517" s="67" t="s">
        <v>1136</v>
      </c>
      <c r="D517" s="8" t="s">
        <v>29</v>
      </c>
      <c r="E517" s="8"/>
      <c r="F517" s="8"/>
      <c r="G517" s="8"/>
      <c r="H517" s="5" t="s">
        <v>563</v>
      </c>
      <c r="I517" s="5" t="s">
        <v>34</v>
      </c>
      <c r="J517" s="16" t="s">
        <v>1279</v>
      </c>
      <c r="K517" s="8"/>
      <c r="L517" s="8"/>
      <c r="M517" s="193">
        <v>43166</v>
      </c>
      <c r="N517" s="193"/>
      <c r="O517" s="193">
        <v>43678</v>
      </c>
      <c r="P517" s="5">
        <v>48</v>
      </c>
      <c r="Q517" s="7" t="s">
        <v>191</v>
      </c>
      <c r="R517" s="18">
        <v>252000</v>
      </c>
      <c r="S517" s="5" t="s">
        <v>98</v>
      </c>
      <c r="T517" s="157" t="s">
        <v>54</v>
      </c>
      <c r="U517" s="4"/>
      <c r="V517" s="4"/>
      <c r="W517" s="5" t="s">
        <v>3247</v>
      </c>
      <c r="X517" s="5" t="s">
        <v>234</v>
      </c>
      <c r="Y517" s="5" t="s">
        <v>457</v>
      </c>
      <c r="Z517" s="5"/>
      <c r="AA517" s="5"/>
      <c r="AB517" s="193">
        <v>43679</v>
      </c>
      <c r="AC517" s="35" t="s">
        <v>3248</v>
      </c>
      <c r="AE517" s="158">
        <v>63000</v>
      </c>
      <c r="AF517"/>
    </row>
    <row r="518" spans="1:32" s="1" customFormat="1" ht="57.6" customHeight="1">
      <c r="A518" s="888"/>
      <c r="B518" s="141" t="s">
        <v>28</v>
      </c>
      <c r="C518" s="67" t="s">
        <v>3249</v>
      </c>
      <c r="D518" s="8" t="s">
        <v>29</v>
      </c>
      <c r="E518" s="8"/>
      <c r="F518" s="8"/>
      <c r="G518" s="8"/>
      <c r="H518" s="5" t="s">
        <v>2907</v>
      </c>
      <c r="I518" s="5" t="s">
        <v>34</v>
      </c>
      <c r="J518" s="16" t="s">
        <v>2908</v>
      </c>
      <c r="K518" s="16"/>
      <c r="L518" s="16"/>
      <c r="M518" s="176">
        <v>43405</v>
      </c>
      <c r="N518" s="176"/>
      <c r="O518" s="176">
        <v>43678</v>
      </c>
      <c r="P518" s="12">
        <v>36</v>
      </c>
      <c r="Q518" s="5">
        <v>36</v>
      </c>
      <c r="R518" s="18">
        <v>179938.85</v>
      </c>
      <c r="S518" s="5" t="s">
        <v>1163</v>
      </c>
      <c r="T518" s="27" t="s">
        <v>110</v>
      </c>
      <c r="U518" s="4"/>
      <c r="V518" s="4"/>
      <c r="W518" s="5" t="s">
        <v>2909</v>
      </c>
      <c r="X518" s="5" t="s">
        <v>1097</v>
      </c>
      <c r="Y518" s="5" t="s">
        <v>457</v>
      </c>
      <c r="Z518" s="5"/>
      <c r="AA518" s="8"/>
      <c r="AB518" s="193">
        <v>43691</v>
      </c>
      <c r="AC518" s="8" t="s">
        <v>3250</v>
      </c>
      <c r="AD518"/>
      <c r="AE518" s="219">
        <f>R518/3</f>
        <v>59979.616666666669</v>
      </c>
    </row>
    <row r="519" spans="1:32" s="1" customFormat="1" ht="57.6" customHeight="1">
      <c r="A519" s="888"/>
      <c r="B519" s="141" t="s">
        <v>28</v>
      </c>
      <c r="C519" s="67" t="s">
        <v>3251</v>
      </c>
      <c r="D519" s="5" t="s">
        <v>29</v>
      </c>
      <c r="E519" s="5"/>
      <c r="F519" s="5"/>
      <c r="G519" s="5"/>
      <c r="H519" s="5" t="s">
        <v>70</v>
      </c>
      <c r="I519" s="5" t="s">
        <v>34</v>
      </c>
      <c r="J519" s="16" t="s">
        <v>1201</v>
      </c>
      <c r="K519" s="16"/>
      <c r="L519" s="16"/>
      <c r="M519" s="176">
        <v>43466</v>
      </c>
      <c r="N519" s="176"/>
      <c r="O519" s="176">
        <v>43678</v>
      </c>
      <c r="P519" s="12">
        <v>12</v>
      </c>
      <c r="Q519" s="12">
        <v>12</v>
      </c>
      <c r="R519" s="18">
        <v>9470</v>
      </c>
      <c r="S519" s="5" t="s">
        <v>163</v>
      </c>
      <c r="T519" s="26" t="s">
        <v>54</v>
      </c>
      <c r="U519" s="4"/>
      <c r="V519" s="4"/>
      <c r="W519" s="5" t="s">
        <v>3252</v>
      </c>
      <c r="X519" s="5" t="s">
        <v>234</v>
      </c>
      <c r="Y519" s="5" t="s">
        <v>457</v>
      </c>
      <c r="Z519" s="5"/>
      <c r="AA519" s="5"/>
      <c r="AB519" s="193">
        <v>43789</v>
      </c>
      <c r="AC519" s="35" t="s">
        <v>2813</v>
      </c>
      <c r="AE519" s="215">
        <v>10000</v>
      </c>
      <c r="AF519" s="53"/>
    </row>
    <row r="520" spans="1:32" s="1" customFormat="1" ht="43.35" customHeight="1">
      <c r="A520" s="888"/>
      <c r="B520" s="141" t="s">
        <v>28</v>
      </c>
      <c r="C520" s="67" t="s">
        <v>3253</v>
      </c>
      <c r="D520" s="8" t="s">
        <v>29</v>
      </c>
      <c r="E520" s="8"/>
      <c r="F520" s="8"/>
      <c r="G520" s="8"/>
      <c r="H520" s="5" t="s">
        <v>2791</v>
      </c>
      <c r="I520" s="5" t="s">
        <v>204</v>
      </c>
      <c r="J520" s="16" t="s">
        <v>1235</v>
      </c>
      <c r="K520" s="8"/>
      <c r="L520" s="8"/>
      <c r="M520" s="193">
        <v>43479</v>
      </c>
      <c r="N520" s="193"/>
      <c r="O520" s="14">
        <v>43678</v>
      </c>
      <c r="P520" s="5">
        <v>24</v>
      </c>
      <c r="Q520" s="7" t="s">
        <v>366</v>
      </c>
      <c r="R520" s="18">
        <v>67000</v>
      </c>
      <c r="S520" s="5" t="s">
        <v>109</v>
      </c>
      <c r="T520" s="157" t="s">
        <v>54</v>
      </c>
      <c r="U520" s="4"/>
      <c r="V520" s="4"/>
      <c r="W520" s="5" t="s">
        <v>3254</v>
      </c>
      <c r="X520" s="5" t="s">
        <v>234</v>
      </c>
      <c r="Y520" s="5" t="s">
        <v>457</v>
      </c>
      <c r="Z520" s="5"/>
      <c r="AA520" s="5"/>
      <c r="AB520" s="7" t="s">
        <v>3255</v>
      </c>
      <c r="AC520" s="8" t="s">
        <v>3256</v>
      </c>
      <c r="AE520" s="158">
        <v>16000</v>
      </c>
    </row>
    <row r="521" spans="1:32" s="1" customFormat="1" ht="43.35" customHeight="1">
      <c r="A521" s="888"/>
      <c r="B521" s="141" t="s">
        <v>28</v>
      </c>
      <c r="C521" s="67" t="s">
        <v>35</v>
      </c>
      <c r="D521" s="9" t="s">
        <v>29</v>
      </c>
      <c r="E521" s="9"/>
      <c r="F521" s="9"/>
      <c r="G521" s="9"/>
      <c r="H521" s="5" t="s">
        <v>81</v>
      </c>
      <c r="I521" s="5" t="s">
        <v>34</v>
      </c>
      <c r="J521" s="16" t="s">
        <v>989</v>
      </c>
      <c r="K521" s="8"/>
      <c r="L521" s="8"/>
      <c r="M521" s="193">
        <v>43535</v>
      </c>
      <c r="N521" s="193"/>
      <c r="O521" s="193">
        <v>43678</v>
      </c>
      <c r="P521" s="5">
        <v>24</v>
      </c>
      <c r="Q521" s="5">
        <v>24</v>
      </c>
      <c r="R521" s="39">
        <v>0</v>
      </c>
      <c r="S521" s="5" t="s">
        <v>164</v>
      </c>
      <c r="T521" s="157" t="s">
        <v>54</v>
      </c>
      <c r="U521" s="4"/>
      <c r="V521" s="4"/>
      <c r="W521" s="12" t="s">
        <v>990</v>
      </c>
      <c r="X521" s="5" t="s">
        <v>150</v>
      </c>
      <c r="Y521" s="5" t="s">
        <v>457</v>
      </c>
      <c r="Z521" s="5"/>
      <c r="AA521" s="5"/>
      <c r="AB521" s="193">
        <v>43502</v>
      </c>
      <c r="AC521" s="35" t="s">
        <v>3257</v>
      </c>
      <c r="AE521" s="158"/>
    </row>
    <row r="522" spans="1:32" s="1" customFormat="1" ht="216" customHeight="1">
      <c r="A522" s="888"/>
      <c r="B522" s="141" t="s">
        <v>28</v>
      </c>
      <c r="C522" s="67" t="s">
        <v>3214</v>
      </c>
      <c r="D522" s="8" t="s">
        <v>29</v>
      </c>
      <c r="E522" s="8"/>
      <c r="F522" s="8"/>
      <c r="G522" s="8"/>
      <c r="H522" s="5" t="s">
        <v>81</v>
      </c>
      <c r="I522" s="5" t="s">
        <v>34</v>
      </c>
      <c r="J522" s="16" t="s">
        <v>3258</v>
      </c>
      <c r="K522" s="8"/>
      <c r="L522" s="8"/>
      <c r="M522" s="193">
        <v>43572</v>
      </c>
      <c r="N522" s="193"/>
      <c r="O522" s="193">
        <v>43678</v>
      </c>
      <c r="P522" s="12">
        <v>12</v>
      </c>
      <c r="Q522" s="12" t="s">
        <v>1287</v>
      </c>
      <c r="R522" s="18">
        <v>100000</v>
      </c>
      <c r="S522" s="12" t="s">
        <v>109</v>
      </c>
      <c r="T522" s="27" t="s">
        <v>54</v>
      </c>
      <c r="U522" s="168"/>
      <c r="V522" s="168"/>
      <c r="W522" s="5" t="s">
        <v>3259</v>
      </c>
      <c r="X522" s="5" t="s">
        <v>1053</v>
      </c>
      <c r="Y522" s="5" t="s">
        <v>457</v>
      </c>
      <c r="Z522" s="5"/>
      <c r="AA522" s="5"/>
      <c r="AB522" s="1386">
        <v>43657</v>
      </c>
      <c r="AC522" s="8" t="s">
        <v>1286</v>
      </c>
      <c r="AE522" s="158">
        <v>100000</v>
      </c>
    </row>
    <row r="523" spans="1:32" s="1" customFormat="1" ht="129.6">
      <c r="A523" s="888"/>
      <c r="B523" s="141" t="s">
        <v>28</v>
      </c>
      <c r="C523" s="67"/>
      <c r="D523" s="9" t="s">
        <v>29</v>
      </c>
      <c r="E523" s="9"/>
      <c r="F523" s="9"/>
      <c r="G523" s="9"/>
      <c r="H523" s="5" t="s">
        <v>76</v>
      </c>
      <c r="I523" s="5" t="s">
        <v>34</v>
      </c>
      <c r="J523" s="16" t="s">
        <v>3260</v>
      </c>
      <c r="K523" s="8"/>
      <c r="L523" s="8"/>
      <c r="M523" s="14">
        <v>43678</v>
      </c>
      <c r="N523" s="14"/>
      <c r="O523" s="14">
        <v>43678</v>
      </c>
      <c r="P523" s="12">
        <v>12</v>
      </c>
      <c r="Q523" s="5">
        <v>12</v>
      </c>
      <c r="R523" s="18">
        <v>1300</v>
      </c>
      <c r="S523" s="5" t="s">
        <v>909</v>
      </c>
      <c r="T523" s="26" t="s">
        <v>54</v>
      </c>
      <c r="U523" s="4"/>
      <c r="V523" s="4"/>
      <c r="W523" s="12" t="s">
        <v>278</v>
      </c>
      <c r="X523" s="5" t="s">
        <v>90</v>
      </c>
      <c r="Y523" s="5" t="s">
        <v>39</v>
      </c>
      <c r="Z523" s="5"/>
      <c r="AA523" s="5"/>
      <c r="AB523" s="193">
        <v>43735</v>
      </c>
      <c r="AC523" s="8" t="s">
        <v>3261</v>
      </c>
      <c r="AE523" s="158">
        <v>1300</v>
      </c>
    </row>
    <row r="524" spans="1:32" s="1" customFormat="1" ht="29.1" customHeight="1">
      <c r="A524" s="852"/>
      <c r="B524" s="713" t="s">
        <v>48</v>
      </c>
      <c r="C524" s="720" t="s">
        <v>1874</v>
      </c>
      <c r="D524" s="466" t="s">
        <v>29</v>
      </c>
      <c r="E524" s="466"/>
      <c r="F524" s="466"/>
      <c r="G524" s="466"/>
      <c r="H524" s="466" t="s">
        <v>49</v>
      </c>
      <c r="I524" s="474" t="s">
        <v>34</v>
      </c>
      <c r="J524" s="1024" t="s">
        <v>1875</v>
      </c>
      <c r="K524" s="467"/>
      <c r="L524" s="485">
        <v>43466</v>
      </c>
      <c r="M524" s="485"/>
      <c r="N524" s="485"/>
      <c r="O524" s="485">
        <v>43678</v>
      </c>
      <c r="P524" s="471">
        <v>48</v>
      </c>
      <c r="Q524" s="471" t="s">
        <v>1876</v>
      </c>
      <c r="R524" s="542" t="s">
        <v>1877</v>
      </c>
      <c r="S524" s="478" t="s">
        <v>163</v>
      </c>
      <c r="T524" s="803" t="s">
        <v>54</v>
      </c>
      <c r="U524" s="470"/>
      <c r="V524" s="470"/>
      <c r="W524" s="474" t="s">
        <v>406</v>
      </c>
      <c r="X524" s="114"/>
      <c r="Y524" s="114"/>
      <c r="Z524" s="114"/>
      <c r="AA524" s="114"/>
      <c r="AB524" s="114"/>
      <c r="AC524" s="114"/>
      <c r="AD524"/>
      <c r="AE524" s="180"/>
    </row>
    <row r="525" spans="1:32" s="1" customFormat="1" ht="52.8">
      <c r="A525" s="852"/>
      <c r="B525" s="713" t="s">
        <v>48</v>
      </c>
      <c r="C525" s="720" t="s">
        <v>1922</v>
      </c>
      <c r="D525" s="466" t="s">
        <v>60</v>
      </c>
      <c r="E525" s="466"/>
      <c r="F525" s="466"/>
      <c r="G525" s="466"/>
      <c r="H525" s="466" t="s">
        <v>127</v>
      </c>
      <c r="I525" s="474" t="s">
        <v>34</v>
      </c>
      <c r="J525" s="1024" t="s">
        <v>1923</v>
      </c>
      <c r="K525" s="467"/>
      <c r="L525" s="485">
        <v>43598</v>
      </c>
      <c r="M525" s="485"/>
      <c r="N525" s="485"/>
      <c r="O525" s="485">
        <v>43678</v>
      </c>
      <c r="P525" s="471">
        <v>1</v>
      </c>
      <c r="Q525" s="471">
        <v>1</v>
      </c>
      <c r="R525" s="542">
        <f>225569+100000</f>
        <v>325569</v>
      </c>
      <c r="S525" s="488" t="s">
        <v>1663</v>
      </c>
      <c r="T525" s="803" t="s">
        <v>36</v>
      </c>
      <c r="U525" s="470"/>
      <c r="V525" s="470"/>
      <c r="W525" s="488" t="s">
        <v>1133</v>
      </c>
      <c r="X525" s="114"/>
      <c r="Y525" s="114"/>
      <c r="Z525" s="114"/>
      <c r="AA525" s="114"/>
      <c r="AB525" s="114"/>
      <c r="AC525" s="114"/>
      <c r="AD525"/>
      <c r="AE525" s="180"/>
    </row>
    <row r="526" spans="1:32" s="1" customFormat="1" ht="52.8">
      <c r="A526" s="852"/>
      <c r="B526" s="713" t="s">
        <v>48</v>
      </c>
      <c r="C526" s="720" t="s">
        <v>188</v>
      </c>
      <c r="D526" s="466" t="s">
        <v>60</v>
      </c>
      <c r="E526" s="466"/>
      <c r="F526" s="466"/>
      <c r="G526" s="466"/>
      <c r="H526" s="466" t="s">
        <v>127</v>
      </c>
      <c r="I526" s="474" t="s">
        <v>34</v>
      </c>
      <c r="J526" s="1024" t="s">
        <v>1970</v>
      </c>
      <c r="K526" s="467"/>
      <c r="L526" s="485">
        <v>43556</v>
      </c>
      <c r="M526" s="485"/>
      <c r="N526" s="485"/>
      <c r="O526" s="485">
        <v>43678</v>
      </c>
      <c r="P526" s="471" t="s">
        <v>125</v>
      </c>
      <c r="Q526" s="471" t="s">
        <v>125</v>
      </c>
      <c r="R526" s="542">
        <v>1200000</v>
      </c>
      <c r="S526" s="478" t="s">
        <v>125</v>
      </c>
      <c r="T526" s="803" t="s">
        <v>144</v>
      </c>
      <c r="U526" s="470"/>
      <c r="V526" s="470"/>
      <c r="W526" s="488" t="s">
        <v>1133</v>
      </c>
      <c r="X526" s="114"/>
      <c r="Y526" s="114"/>
      <c r="Z526" s="114"/>
      <c r="AA526" s="114"/>
      <c r="AB526" s="114"/>
      <c r="AC526" s="114"/>
      <c r="AD526"/>
      <c r="AE526" s="180"/>
    </row>
    <row r="527" spans="1:32" s="1" customFormat="1" ht="57.6" customHeight="1">
      <c r="A527" s="888"/>
      <c r="B527" s="141" t="s">
        <v>28</v>
      </c>
      <c r="C527" s="67" t="s">
        <v>3262</v>
      </c>
      <c r="D527" s="8" t="s">
        <v>29</v>
      </c>
      <c r="E527" s="8"/>
      <c r="F527" s="8"/>
      <c r="G527" s="8"/>
      <c r="H527" s="5" t="s">
        <v>70</v>
      </c>
      <c r="I527" s="12" t="s">
        <v>64</v>
      </c>
      <c r="J527" s="16" t="s">
        <v>3263</v>
      </c>
      <c r="K527" s="16"/>
      <c r="L527" s="16"/>
      <c r="M527" s="176">
        <v>43391</v>
      </c>
      <c r="N527" s="176"/>
      <c r="O527" s="176">
        <v>43681</v>
      </c>
      <c r="P527" s="12">
        <v>12</v>
      </c>
      <c r="Q527" s="13" t="s">
        <v>108</v>
      </c>
      <c r="R527" s="18">
        <v>42500</v>
      </c>
      <c r="S527" s="5" t="s">
        <v>66</v>
      </c>
      <c r="T527" s="27" t="s">
        <v>54</v>
      </c>
      <c r="U527" s="4"/>
      <c r="V527" s="4"/>
      <c r="W527" s="5" t="s">
        <v>3264</v>
      </c>
      <c r="X527" s="5" t="s">
        <v>1053</v>
      </c>
      <c r="Y527" s="5" t="s">
        <v>457</v>
      </c>
      <c r="Z527" s="5"/>
      <c r="AA527" s="12"/>
      <c r="AB527" s="193">
        <v>43690</v>
      </c>
      <c r="AC527" s="8" t="s">
        <v>1246</v>
      </c>
      <c r="AE527" s="215">
        <v>3600</v>
      </c>
    </row>
    <row r="528" spans="1:32" s="1" customFormat="1" ht="43.35" customHeight="1">
      <c r="A528" s="852"/>
      <c r="B528" s="713" t="s">
        <v>48</v>
      </c>
      <c r="C528" s="720" t="s">
        <v>1920</v>
      </c>
      <c r="D528" s="466" t="s">
        <v>60</v>
      </c>
      <c r="E528" s="466"/>
      <c r="F528" s="466"/>
      <c r="G528" s="466"/>
      <c r="H528" s="466" t="s">
        <v>127</v>
      </c>
      <c r="I528" s="474" t="s">
        <v>34</v>
      </c>
      <c r="J528" s="1024" t="s">
        <v>1921</v>
      </c>
      <c r="K528" s="467"/>
      <c r="L528" s="485">
        <v>43572</v>
      </c>
      <c r="M528" s="485"/>
      <c r="N528" s="485"/>
      <c r="O528" s="485">
        <v>43682</v>
      </c>
      <c r="P528" s="471">
        <v>2</v>
      </c>
      <c r="Q528" s="471">
        <v>2</v>
      </c>
      <c r="R528" s="542">
        <v>100000</v>
      </c>
      <c r="S528" s="478" t="s">
        <v>125</v>
      </c>
      <c r="T528" s="803" t="s">
        <v>36</v>
      </c>
      <c r="U528" s="470"/>
      <c r="V528" s="470"/>
      <c r="W528" s="488" t="s">
        <v>1133</v>
      </c>
      <c r="X528" s="114"/>
      <c r="Y528" s="114"/>
      <c r="Z528" s="114"/>
      <c r="AA528" s="114"/>
      <c r="AB528" s="114"/>
      <c r="AC528" s="114"/>
      <c r="AD528"/>
      <c r="AE528" s="180"/>
    </row>
    <row r="529" spans="1:51" s="282" customFormat="1" ht="72">
      <c r="A529" s="888"/>
      <c r="B529" s="141" t="s">
        <v>28</v>
      </c>
      <c r="C529" s="67" t="s">
        <v>1280</v>
      </c>
      <c r="D529" s="5" t="s">
        <v>60</v>
      </c>
      <c r="E529" s="5"/>
      <c r="F529" s="5"/>
      <c r="G529" s="5"/>
      <c r="H529" s="1335" t="s">
        <v>349</v>
      </c>
      <c r="I529" s="1330" t="s">
        <v>34</v>
      </c>
      <c r="J529" s="16" t="s">
        <v>3265</v>
      </c>
      <c r="K529" s="16"/>
      <c r="L529" s="16"/>
      <c r="M529" s="1329">
        <v>43486</v>
      </c>
      <c r="N529" s="1329"/>
      <c r="O529" s="1329">
        <v>43689</v>
      </c>
      <c r="P529" s="1330">
        <v>36</v>
      </c>
      <c r="Q529" s="1335" t="s">
        <v>318</v>
      </c>
      <c r="R529" s="18">
        <v>45400</v>
      </c>
      <c r="S529" s="1335" t="s">
        <v>109</v>
      </c>
      <c r="T529" s="1352" t="s">
        <v>54</v>
      </c>
      <c r="U529" s="4"/>
      <c r="V529" s="4"/>
      <c r="W529" s="1335" t="s">
        <v>1087</v>
      </c>
      <c r="X529" s="5" t="s">
        <v>1091</v>
      </c>
      <c r="Y529" s="5" t="s">
        <v>457</v>
      </c>
      <c r="Z529" s="5"/>
      <c r="AA529" s="5"/>
      <c r="AB529" s="193">
        <v>43728</v>
      </c>
      <c r="AC529" s="1327" t="s">
        <v>3266</v>
      </c>
      <c r="AD529" s="1"/>
      <c r="AE529" s="1442" t="s">
        <v>35</v>
      </c>
      <c r="AF529" s="1"/>
      <c r="AG529" s="1360"/>
      <c r="AH529" s="1360"/>
      <c r="AI529" s="1360"/>
      <c r="AJ529" s="1360"/>
      <c r="AK529" s="1360"/>
      <c r="AL529" s="1360"/>
      <c r="AM529" s="1360"/>
      <c r="AN529" s="1360"/>
      <c r="AO529" s="1360"/>
      <c r="AP529" s="1360"/>
      <c r="AQ529" s="1360"/>
      <c r="AR529" s="1360"/>
      <c r="AS529" s="1360"/>
      <c r="AT529" s="1360"/>
      <c r="AU529" s="1360"/>
      <c r="AV529" s="1360"/>
      <c r="AW529" s="1360"/>
      <c r="AX529" s="1360"/>
      <c r="AY529" s="1360"/>
    </row>
    <row r="530" spans="1:51" s="1" customFormat="1" ht="173.1" customHeight="1">
      <c r="A530" s="852"/>
      <c r="B530" s="713" t="s">
        <v>48</v>
      </c>
      <c r="C530" s="720" t="s">
        <v>188</v>
      </c>
      <c r="D530" s="466" t="s">
        <v>60</v>
      </c>
      <c r="E530" s="466"/>
      <c r="F530" s="466"/>
      <c r="G530" s="466"/>
      <c r="H530" s="466" t="s">
        <v>127</v>
      </c>
      <c r="I530" s="474" t="s">
        <v>34</v>
      </c>
      <c r="J530" s="1024" t="s">
        <v>1830</v>
      </c>
      <c r="K530" s="467"/>
      <c r="L530" s="485">
        <v>43605</v>
      </c>
      <c r="M530" s="485"/>
      <c r="N530" s="485"/>
      <c r="O530" s="485">
        <v>43689</v>
      </c>
      <c r="P530" s="471">
        <v>1</v>
      </c>
      <c r="Q530" s="471">
        <v>1</v>
      </c>
      <c r="R530" s="542">
        <v>152907</v>
      </c>
      <c r="S530" s="478" t="s">
        <v>1663</v>
      </c>
      <c r="T530" s="803" t="s">
        <v>54</v>
      </c>
      <c r="U530" s="470"/>
      <c r="V530" s="470"/>
      <c r="W530" s="474" t="s">
        <v>1831</v>
      </c>
      <c r="X530" s="114"/>
      <c r="Y530" s="114"/>
      <c r="Z530" s="114"/>
      <c r="AA530" s="114"/>
      <c r="AB530" s="114"/>
      <c r="AC530" s="114"/>
      <c r="AD530"/>
      <c r="AE530" s="180"/>
    </row>
    <row r="531" spans="1:51" s="282" customFormat="1" ht="66">
      <c r="A531" s="852"/>
      <c r="B531" s="713" t="s">
        <v>48</v>
      </c>
      <c r="C531" s="720" t="s">
        <v>188</v>
      </c>
      <c r="D531" s="466" t="s">
        <v>60</v>
      </c>
      <c r="E531" s="466"/>
      <c r="F531" s="466"/>
      <c r="G531" s="466"/>
      <c r="H531" s="466" t="s">
        <v>127</v>
      </c>
      <c r="I531" s="474" t="s">
        <v>34</v>
      </c>
      <c r="J531" s="1024" t="s">
        <v>1832</v>
      </c>
      <c r="K531" s="467"/>
      <c r="L531" s="485">
        <v>43598</v>
      </c>
      <c r="M531" s="485"/>
      <c r="N531" s="485"/>
      <c r="O531" s="485">
        <v>43689</v>
      </c>
      <c r="P531" s="471">
        <v>1</v>
      </c>
      <c r="Q531" s="471">
        <v>1</v>
      </c>
      <c r="R531" s="542">
        <v>315035</v>
      </c>
      <c r="S531" s="478" t="s">
        <v>1663</v>
      </c>
      <c r="T531" s="803" t="s">
        <v>54</v>
      </c>
      <c r="U531" s="470"/>
      <c r="V531" s="470"/>
      <c r="W531" s="474" t="s">
        <v>1831</v>
      </c>
      <c r="X531" s="114"/>
      <c r="Y531" s="114"/>
      <c r="Z531" s="114"/>
      <c r="AA531" s="114"/>
      <c r="AB531" s="114"/>
      <c r="AC531" s="114"/>
      <c r="AD531"/>
      <c r="AE531" s="180"/>
      <c r="AF531" s="1"/>
      <c r="AG531" s="1360"/>
      <c r="AH531" s="1360"/>
      <c r="AI531" s="1360"/>
      <c r="AJ531" s="1360"/>
      <c r="AK531" s="1360"/>
      <c r="AL531" s="1360"/>
      <c r="AM531" s="1360"/>
      <c r="AN531" s="1360"/>
      <c r="AO531" s="1360"/>
      <c r="AP531" s="1360"/>
      <c r="AQ531" s="1360"/>
      <c r="AR531" s="1360"/>
      <c r="AS531" s="1360"/>
      <c r="AT531" s="1360"/>
      <c r="AU531" s="1360"/>
      <c r="AV531" s="1360"/>
      <c r="AW531" s="1360"/>
      <c r="AX531" s="1360"/>
      <c r="AY531" s="1360"/>
    </row>
    <row r="532" spans="1:51" s="282" customFormat="1" ht="52.8">
      <c r="A532" s="852"/>
      <c r="B532" s="713" t="s">
        <v>48</v>
      </c>
      <c r="C532" s="720" t="s">
        <v>1851</v>
      </c>
      <c r="D532" s="466" t="s">
        <v>60</v>
      </c>
      <c r="E532" s="466"/>
      <c r="F532" s="466"/>
      <c r="G532" s="466"/>
      <c r="H532" s="466" t="s">
        <v>127</v>
      </c>
      <c r="I532" s="474" t="s">
        <v>34</v>
      </c>
      <c r="J532" s="1024" t="s">
        <v>1852</v>
      </c>
      <c r="K532" s="467"/>
      <c r="L532" s="485">
        <v>43654</v>
      </c>
      <c r="M532" s="485"/>
      <c r="N532" s="485"/>
      <c r="O532" s="485">
        <v>43689</v>
      </c>
      <c r="P532" s="471">
        <v>1</v>
      </c>
      <c r="Q532" s="471">
        <v>1</v>
      </c>
      <c r="R532" s="542">
        <v>15000</v>
      </c>
      <c r="S532" s="478" t="s">
        <v>163</v>
      </c>
      <c r="T532" s="803" t="s">
        <v>54</v>
      </c>
      <c r="U532" s="470"/>
      <c r="V532" s="470"/>
      <c r="W532" s="474" t="s">
        <v>1853</v>
      </c>
      <c r="X532" s="114"/>
      <c r="Y532" s="114"/>
      <c r="Z532" s="114"/>
      <c r="AA532" s="114"/>
      <c r="AB532" s="114"/>
      <c r="AC532" s="114"/>
      <c r="AD532"/>
      <c r="AE532" s="180"/>
      <c r="AF532" s="1"/>
      <c r="AG532" s="1360"/>
      <c r="AH532" s="1360"/>
      <c r="AI532" s="1360"/>
      <c r="AJ532" s="1360"/>
      <c r="AK532" s="1360"/>
      <c r="AL532" s="1360"/>
      <c r="AM532" s="1360"/>
      <c r="AN532" s="1360"/>
      <c r="AO532" s="1360"/>
      <c r="AP532" s="1360"/>
      <c r="AQ532" s="1360"/>
      <c r="AR532" s="1360"/>
      <c r="AS532" s="1360"/>
      <c r="AT532" s="1360"/>
      <c r="AU532" s="1360"/>
      <c r="AV532" s="1360"/>
      <c r="AW532" s="1360"/>
      <c r="AX532" s="1360"/>
      <c r="AY532" s="1360"/>
    </row>
    <row r="533" spans="1:51" s="282" customFormat="1" ht="52.8">
      <c r="A533" s="852"/>
      <c r="B533" s="713" t="s">
        <v>48</v>
      </c>
      <c r="C533" s="720" t="s">
        <v>1928</v>
      </c>
      <c r="D533" s="466" t="s">
        <v>60</v>
      </c>
      <c r="E533" s="466"/>
      <c r="F533" s="466"/>
      <c r="G533" s="466"/>
      <c r="H533" s="466" t="s">
        <v>127</v>
      </c>
      <c r="I533" s="474" t="s">
        <v>34</v>
      </c>
      <c r="J533" s="1024" t="s">
        <v>1929</v>
      </c>
      <c r="K533" s="467"/>
      <c r="L533" s="485">
        <v>43640</v>
      </c>
      <c r="M533" s="485"/>
      <c r="N533" s="485"/>
      <c r="O533" s="485">
        <v>43689</v>
      </c>
      <c r="P533" s="471">
        <v>1</v>
      </c>
      <c r="Q533" s="471">
        <v>1</v>
      </c>
      <c r="R533" s="542">
        <v>200000</v>
      </c>
      <c r="S533" s="478" t="s">
        <v>1663</v>
      </c>
      <c r="T533" s="803" t="s">
        <v>36</v>
      </c>
      <c r="U533" s="470"/>
      <c r="V533" s="470"/>
      <c r="W533" s="488" t="s">
        <v>1133</v>
      </c>
      <c r="X533" s="114"/>
      <c r="Y533" s="114"/>
      <c r="Z533" s="114"/>
      <c r="AA533" s="114"/>
      <c r="AB533" s="114"/>
      <c r="AC533" s="114"/>
      <c r="AD533"/>
      <c r="AE533" s="180"/>
      <c r="AF533" s="1"/>
      <c r="AG533" s="1360"/>
      <c r="AH533" s="1360"/>
      <c r="AI533" s="1360"/>
      <c r="AJ533" s="1360"/>
      <c r="AK533" s="1360"/>
      <c r="AL533" s="1360"/>
      <c r="AM533" s="1360"/>
      <c r="AN533" s="1360"/>
      <c r="AO533" s="1360"/>
      <c r="AP533" s="1360"/>
      <c r="AQ533" s="1360"/>
      <c r="AR533" s="1360"/>
      <c r="AS533" s="1360"/>
      <c r="AT533" s="1360"/>
      <c r="AU533" s="1360"/>
      <c r="AV533" s="1360"/>
      <c r="AW533" s="1360"/>
      <c r="AX533" s="1360"/>
      <c r="AY533" s="1360"/>
    </row>
    <row r="534" spans="1:51" s="282" customFormat="1" ht="52.8">
      <c r="A534" s="852"/>
      <c r="B534" s="713" t="s">
        <v>48</v>
      </c>
      <c r="C534" s="720" t="s">
        <v>1934</v>
      </c>
      <c r="D534" s="466" t="s">
        <v>60</v>
      </c>
      <c r="E534" s="466"/>
      <c r="F534" s="466"/>
      <c r="G534" s="466"/>
      <c r="H534" s="466" t="s">
        <v>127</v>
      </c>
      <c r="I534" s="474" t="s">
        <v>34</v>
      </c>
      <c r="J534" s="1024" t="s">
        <v>1935</v>
      </c>
      <c r="K534" s="467"/>
      <c r="L534" s="485">
        <v>43649</v>
      </c>
      <c r="M534" s="485"/>
      <c r="N534" s="485"/>
      <c r="O534" s="485">
        <v>43689</v>
      </c>
      <c r="P534" s="471">
        <v>1</v>
      </c>
      <c r="Q534" s="471">
        <v>1</v>
      </c>
      <c r="R534" s="542">
        <v>10000</v>
      </c>
      <c r="S534" s="478" t="s">
        <v>1663</v>
      </c>
      <c r="T534" s="803" t="s">
        <v>465</v>
      </c>
      <c r="U534" s="470"/>
      <c r="V534" s="470"/>
      <c r="W534" s="488" t="s">
        <v>1133</v>
      </c>
      <c r="X534" s="114"/>
      <c r="Y534" s="114"/>
      <c r="Z534" s="114"/>
      <c r="AA534" s="114"/>
      <c r="AB534" s="114"/>
      <c r="AC534" s="114"/>
      <c r="AD534"/>
      <c r="AE534" s="180"/>
      <c r="AF534" s="1"/>
      <c r="AG534" s="1360"/>
      <c r="AH534" s="1360"/>
      <c r="AI534" s="1360"/>
      <c r="AJ534" s="1360"/>
      <c r="AK534" s="1360"/>
      <c r="AL534" s="1360"/>
      <c r="AM534" s="1360"/>
      <c r="AN534" s="1360"/>
      <c r="AO534" s="1360"/>
      <c r="AP534" s="1360"/>
      <c r="AQ534" s="1360"/>
      <c r="AR534" s="1360"/>
      <c r="AS534" s="1360"/>
      <c r="AT534" s="1360"/>
      <c r="AU534" s="1360"/>
      <c r="AV534" s="1360"/>
      <c r="AW534" s="1360"/>
      <c r="AX534" s="1360"/>
      <c r="AY534" s="1360"/>
    </row>
    <row r="535" spans="1:51" s="93" customFormat="1" ht="29.1" customHeight="1">
      <c r="A535" s="852"/>
      <c r="B535" s="713" t="s">
        <v>48</v>
      </c>
      <c r="C535" s="720" t="s">
        <v>188</v>
      </c>
      <c r="D535" s="466" t="s">
        <v>60</v>
      </c>
      <c r="E535" s="466"/>
      <c r="F535" s="466"/>
      <c r="G535" s="466"/>
      <c r="H535" s="466" t="s">
        <v>127</v>
      </c>
      <c r="I535" s="474" t="s">
        <v>34</v>
      </c>
      <c r="J535" s="1024" t="s">
        <v>1979</v>
      </c>
      <c r="K535" s="467"/>
      <c r="L535" s="485">
        <v>43626</v>
      </c>
      <c r="M535" s="485"/>
      <c r="N535" s="485"/>
      <c r="O535" s="485">
        <v>43689</v>
      </c>
      <c r="P535" s="471">
        <v>1</v>
      </c>
      <c r="Q535" s="471">
        <v>1</v>
      </c>
      <c r="R535" s="542">
        <v>355000</v>
      </c>
      <c r="S535" s="478" t="s">
        <v>158</v>
      </c>
      <c r="T535" s="803" t="s">
        <v>36</v>
      </c>
      <c r="U535" s="470"/>
      <c r="V535" s="470"/>
      <c r="W535" s="488" t="s">
        <v>1133</v>
      </c>
      <c r="X535" s="114"/>
      <c r="Y535" s="114"/>
      <c r="Z535" s="114"/>
      <c r="AA535" s="114"/>
      <c r="AB535" s="114"/>
      <c r="AC535" s="114"/>
      <c r="AD535"/>
      <c r="AE535" s="180"/>
      <c r="AF535" s="1"/>
    </row>
    <row r="536" spans="1:51" s="1" customFormat="1" ht="57.6" customHeight="1">
      <c r="A536" s="852"/>
      <c r="B536" s="713" t="s">
        <v>48</v>
      </c>
      <c r="C536" s="720" t="s">
        <v>1811</v>
      </c>
      <c r="D536" s="466" t="s">
        <v>29</v>
      </c>
      <c r="E536" s="466"/>
      <c r="F536" s="466"/>
      <c r="G536" s="466"/>
      <c r="H536" s="466" t="s">
        <v>49</v>
      </c>
      <c r="I536" s="474" t="s">
        <v>34</v>
      </c>
      <c r="J536" s="1024" t="s">
        <v>1812</v>
      </c>
      <c r="K536" s="467"/>
      <c r="L536" s="485">
        <v>43252</v>
      </c>
      <c r="M536" s="485"/>
      <c r="N536" s="563"/>
      <c r="O536" s="563">
        <v>43690</v>
      </c>
      <c r="P536" s="471">
        <v>15</v>
      </c>
      <c r="Q536" s="471">
        <v>15</v>
      </c>
      <c r="R536" s="542">
        <v>3600000</v>
      </c>
      <c r="S536" s="478" t="s">
        <v>163</v>
      </c>
      <c r="T536" s="803" t="s">
        <v>54</v>
      </c>
      <c r="U536" s="470"/>
      <c r="V536" s="470"/>
      <c r="W536" s="474" t="s">
        <v>1713</v>
      </c>
      <c r="X536" s="114"/>
      <c r="Y536" s="114"/>
      <c r="Z536" s="114"/>
      <c r="AA536" s="114"/>
      <c r="AB536" s="114"/>
      <c r="AC536" s="114"/>
      <c r="AD536"/>
      <c r="AE536" s="180"/>
    </row>
    <row r="537" spans="1:51" s="1" customFormat="1" ht="29.1" customHeight="1">
      <c r="A537" s="852"/>
      <c r="B537" s="713" t="s">
        <v>48</v>
      </c>
      <c r="C537" s="720" t="s">
        <v>1993</v>
      </c>
      <c r="D537" s="466" t="s">
        <v>82</v>
      </c>
      <c r="E537" s="466"/>
      <c r="F537" s="466"/>
      <c r="G537" s="466"/>
      <c r="H537" s="466" t="s">
        <v>49</v>
      </c>
      <c r="I537" s="474" t="s">
        <v>34</v>
      </c>
      <c r="J537" s="1024" t="s">
        <v>1994</v>
      </c>
      <c r="K537" s="467"/>
      <c r="L537" s="485">
        <v>43588</v>
      </c>
      <c r="M537" s="485"/>
      <c r="N537" s="485"/>
      <c r="O537" s="485">
        <v>43694</v>
      </c>
      <c r="P537" s="471">
        <v>1</v>
      </c>
      <c r="Q537" s="471">
        <v>1</v>
      </c>
      <c r="R537" s="542">
        <v>60000</v>
      </c>
      <c r="S537" s="478" t="s">
        <v>1163</v>
      </c>
      <c r="T537" s="803" t="s">
        <v>36</v>
      </c>
      <c r="U537" s="470"/>
      <c r="V537" s="470"/>
      <c r="W537" s="488" t="s">
        <v>1467</v>
      </c>
      <c r="X537" s="114"/>
      <c r="Y537" s="114"/>
      <c r="Z537" s="114"/>
      <c r="AA537" s="114"/>
      <c r="AB537" s="114"/>
      <c r="AC537" s="114"/>
      <c r="AD537"/>
      <c r="AE537" s="180"/>
    </row>
    <row r="538" spans="1:51" s="1" customFormat="1" ht="43.35" customHeight="1">
      <c r="A538" s="852"/>
      <c r="B538" s="713" t="s">
        <v>48</v>
      </c>
      <c r="C538" s="720" t="s">
        <v>1960</v>
      </c>
      <c r="D538" s="466" t="s">
        <v>60</v>
      </c>
      <c r="E538" s="466"/>
      <c r="F538" s="466"/>
      <c r="G538" s="466"/>
      <c r="H538" s="466" t="s">
        <v>127</v>
      </c>
      <c r="I538" s="474" t="s">
        <v>34</v>
      </c>
      <c r="J538" s="1024" t="s">
        <v>1961</v>
      </c>
      <c r="K538" s="467"/>
      <c r="L538" s="485">
        <v>43633</v>
      </c>
      <c r="M538" s="485"/>
      <c r="N538" s="485"/>
      <c r="O538" s="485">
        <v>43696</v>
      </c>
      <c r="P538" s="471">
        <v>1</v>
      </c>
      <c r="Q538" s="471">
        <v>1</v>
      </c>
      <c r="R538" s="542">
        <v>80000</v>
      </c>
      <c r="S538" s="478" t="s">
        <v>1663</v>
      </c>
      <c r="T538" s="803" t="s">
        <v>36</v>
      </c>
      <c r="U538" s="470"/>
      <c r="V538" s="470"/>
      <c r="W538" s="488" t="s">
        <v>1133</v>
      </c>
      <c r="X538" s="114"/>
      <c r="Y538" s="114"/>
      <c r="Z538" s="114"/>
      <c r="AA538" s="114"/>
      <c r="AB538" s="114"/>
      <c r="AC538" s="114"/>
      <c r="AD538"/>
      <c r="AE538" s="180"/>
    </row>
    <row r="539" spans="1:51" s="1" customFormat="1" ht="43.35" customHeight="1">
      <c r="A539" s="852"/>
      <c r="B539" s="713" t="s">
        <v>48</v>
      </c>
      <c r="C539" s="720" t="s">
        <v>188</v>
      </c>
      <c r="D539" s="466" t="s">
        <v>60</v>
      </c>
      <c r="E539" s="466"/>
      <c r="F539" s="466"/>
      <c r="G539" s="466"/>
      <c r="H539" s="466" t="s">
        <v>127</v>
      </c>
      <c r="I539" s="474" t="s">
        <v>34</v>
      </c>
      <c r="J539" s="1024" t="s">
        <v>1982</v>
      </c>
      <c r="K539" s="467"/>
      <c r="L539" s="485">
        <v>43678</v>
      </c>
      <c r="M539" s="485"/>
      <c r="N539" s="485"/>
      <c r="O539" s="485">
        <v>43696</v>
      </c>
      <c r="P539" s="471" t="s">
        <v>125</v>
      </c>
      <c r="Q539" s="471" t="s">
        <v>125</v>
      </c>
      <c r="R539" s="542">
        <f>150000+100000+150000+45000</f>
        <v>445000</v>
      </c>
      <c r="S539" s="478" t="s">
        <v>1663</v>
      </c>
      <c r="T539" s="803" t="s">
        <v>36</v>
      </c>
      <c r="U539" s="470"/>
      <c r="V539" s="470"/>
      <c r="W539" s="488" t="s">
        <v>1133</v>
      </c>
      <c r="X539" s="114"/>
      <c r="Y539" s="114"/>
      <c r="Z539" s="114"/>
      <c r="AA539" s="114"/>
      <c r="AB539" s="114"/>
      <c r="AC539" s="114"/>
      <c r="AD539"/>
      <c r="AE539" s="180"/>
    </row>
    <row r="540" spans="1:51" s="1" customFormat="1" ht="39.6">
      <c r="A540" s="852"/>
      <c r="B540" s="713" t="s">
        <v>48</v>
      </c>
      <c r="C540" s="720" t="s">
        <v>1975</v>
      </c>
      <c r="D540" s="466" t="s">
        <v>82</v>
      </c>
      <c r="E540" s="466"/>
      <c r="F540" s="466"/>
      <c r="G540" s="466"/>
      <c r="H540" s="466" t="s">
        <v>49</v>
      </c>
      <c r="I540" s="474" t="s">
        <v>34</v>
      </c>
      <c r="J540" s="1024" t="s">
        <v>1976</v>
      </c>
      <c r="K540" s="467"/>
      <c r="L540" s="485">
        <v>43586</v>
      </c>
      <c r="M540" s="485"/>
      <c r="N540" s="485"/>
      <c r="O540" s="485">
        <v>43703</v>
      </c>
      <c r="P540" s="471">
        <v>1</v>
      </c>
      <c r="Q540" s="471">
        <v>1</v>
      </c>
      <c r="R540" s="542">
        <v>136000</v>
      </c>
      <c r="S540" s="478" t="s">
        <v>1163</v>
      </c>
      <c r="T540" s="803" t="s">
        <v>36</v>
      </c>
      <c r="U540" s="470"/>
      <c r="V540" s="470"/>
      <c r="W540" s="488" t="s">
        <v>1467</v>
      </c>
      <c r="X540" s="114"/>
      <c r="Y540" s="114"/>
      <c r="Z540" s="114"/>
      <c r="AA540" s="114"/>
      <c r="AB540" s="114"/>
      <c r="AC540" s="114"/>
      <c r="AD540"/>
      <c r="AE540" s="180"/>
    </row>
    <row r="541" spans="1:51" s="1" customFormat="1" ht="57.6" customHeight="1">
      <c r="A541" s="1364"/>
      <c r="B541" s="141"/>
      <c r="C541" s="67" t="s">
        <v>3267</v>
      </c>
      <c r="D541" s="5" t="s">
        <v>29</v>
      </c>
      <c r="E541" s="5"/>
      <c r="F541" s="5"/>
      <c r="G541" s="5"/>
      <c r="H541" s="137" t="s">
        <v>3268</v>
      </c>
      <c r="I541" s="103" t="s">
        <v>64</v>
      </c>
      <c r="J541" s="138" t="s">
        <v>3269</v>
      </c>
      <c r="K541" s="138"/>
      <c r="L541" s="138"/>
      <c r="M541" s="139"/>
      <c r="N541" s="139"/>
      <c r="O541" s="139">
        <v>43709</v>
      </c>
      <c r="P541" s="132">
        <v>36</v>
      </c>
      <c r="Q541" s="135" t="s">
        <v>3270</v>
      </c>
      <c r="R541" s="126">
        <v>24000</v>
      </c>
      <c r="S541" s="132" t="s">
        <v>66</v>
      </c>
      <c r="T541" s="1352" t="s">
        <v>54</v>
      </c>
      <c r="U541" s="4"/>
      <c r="V541" s="4"/>
      <c r="W541" s="135" t="s">
        <v>3271</v>
      </c>
      <c r="X541" s="135" t="s">
        <v>35</v>
      </c>
      <c r="Y541" s="135" t="s">
        <v>59</v>
      </c>
      <c r="Z541" s="135"/>
      <c r="AA541" s="136"/>
      <c r="AB541" s="193"/>
      <c r="AC541" s="8" t="s">
        <v>3272</v>
      </c>
      <c r="AD541" s="34"/>
      <c r="AE541" s="226"/>
    </row>
    <row r="542" spans="1:51" s="1" customFormat="1" ht="86.4" customHeight="1">
      <c r="A542" s="888"/>
      <c r="B542" s="420" t="s">
        <v>145</v>
      </c>
      <c r="C542" s="426" t="s">
        <v>3273</v>
      </c>
      <c r="D542" s="360" t="s">
        <v>92</v>
      </c>
      <c r="E542" s="360"/>
      <c r="F542" s="360"/>
      <c r="G542" s="360"/>
      <c r="H542" s="360" t="s">
        <v>148</v>
      </c>
      <c r="I542" s="360" t="s">
        <v>1257</v>
      </c>
      <c r="J542" s="1029" t="s">
        <v>3274</v>
      </c>
      <c r="K542" s="360"/>
      <c r="L542" s="374">
        <v>12</v>
      </c>
      <c r="M542" s="379">
        <f>IFERROR(EDATE(N542,-3),"Invalid procurement method or date entered")</f>
        <v>43252</v>
      </c>
      <c r="N542" s="375">
        <f>IFERROR(EDATE(O542,-L542),"Invalid procurement method or date entered")</f>
        <v>43344</v>
      </c>
      <c r="O542" s="335">
        <v>43709</v>
      </c>
      <c r="P542" s="361"/>
      <c r="Q542" s="361"/>
      <c r="R542" s="362">
        <v>11157700</v>
      </c>
      <c r="S542" s="378" t="s">
        <v>186</v>
      </c>
      <c r="T542" s="434" t="s">
        <v>54</v>
      </c>
      <c r="U542" s="363" t="s">
        <v>3033</v>
      </c>
      <c r="V542" s="363"/>
      <c r="W542" s="360" t="s">
        <v>3275</v>
      </c>
      <c r="X542" s="360" t="s">
        <v>184</v>
      </c>
      <c r="Y542" s="360" t="s">
        <v>179</v>
      </c>
      <c r="Z542" s="360"/>
      <c r="AA542" s="8" t="s">
        <v>40</v>
      </c>
      <c r="AB542" s="371" t="s">
        <v>41</v>
      </c>
      <c r="AC542" s="365">
        <v>44064</v>
      </c>
      <c r="AD542" s="452"/>
      <c r="AE542" s="444"/>
    </row>
    <row r="543" spans="1:51" s="1" customFormat="1" ht="29.1" customHeight="1">
      <c r="A543" s="888"/>
      <c r="B543" s="141" t="s">
        <v>28</v>
      </c>
      <c r="C543" s="67" t="s">
        <v>43</v>
      </c>
      <c r="D543" s="5" t="s">
        <v>60</v>
      </c>
      <c r="E543" s="5"/>
      <c r="F543" s="5"/>
      <c r="G543" s="5"/>
      <c r="H543" s="5" t="s">
        <v>260</v>
      </c>
      <c r="I543" s="5" t="s">
        <v>34</v>
      </c>
      <c r="J543" s="16" t="s">
        <v>1325</v>
      </c>
      <c r="K543" s="16"/>
      <c r="L543" s="16"/>
      <c r="M543" s="14">
        <v>43344</v>
      </c>
      <c r="N543" s="14"/>
      <c r="O543" s="14">
        <v>43709</v>
      </c>
      <c r="P543" s="12">
        <v>12</v>
      </c>
      <c r="Q543" s="5">
        <v>12</v>
      </c>
      <c r="R543" s="39">
        <v>1800000</v>
      </c>
      <c r="S543" s="5" t="s">
        <v>66</v>
      </c>
      <c r="T543" s="155" t="s">
        <v>35</v>
      </c>
      <c r="U543" s="4"/>
      <c r="V543" s="4"/>
      <c r="W543" s="5" t="s">
        <v>233</v>
      </c>
      <c r="X543" s="5" t="s">
        <v>1053</v>
      </c>
      <c r="Y543" s="5" t="s">
        <v>457</v>
      </c>
      <c r="Z543" s="5"/>
      <c r="AA543" s="5"/>
      <c r="AB543" s="193">
        <v>43780</v>
      </c>
      <c r="AC543" s="8" t="s">
        <v>1246</v>
      </c>
      <c r="AE543" s="158"/>
    </row>
    <row r="544" spans="1:51" s="1" customFormat="1" ht="43.2">
      <c r="A544" s="888"/>
      <c r="B544" s="141" t="s">
        <v>28</v>
      </c>
      <c r="C544" s="67" t="s">
        <v>1367</v>
      </c>
      <c r="D544" s="8" t="s">
        <v>29</v>
      </c>
      <c r="E544" s="8"/>
      <c r="F544" s="8"/>
      <c r="G544" s="8"/>
      <c r="H544" s="12" t="s">
        <v>70</v>
      </c>
      <c r="I544" s="12" t="s">
        <v>64</v>
      </c>
      <c r="J544" s="97" t="s">
        <v>1051</v>
      </c>
      <c r="K544" s="97"/>
      <c r="L544" s="97"/>
      <c r="M544" s="176">
        <v>43435</v>
      </c>
      <c r="N544" s="176"/>
      <c r="O544" s="176">
        <v>43709</v>
      </c>
      <c r="P544" s="12">
        <v>12</v>
      </c>
      <c r="Q544" s="7" t="s">
        <v>108</v>
      </c>
      <c r="R544" s="18">
        <v>4999</v>
      </c>
      <c r="S544" s="5" t="s">
        <v>109</v>
      </c>
      <c r="T544" s="27" t="s">
        <v>54</v>
      </c>
      <c r="U544" s="4"/>
      <c r="V544" s="4"/>
      <c r="W544" s="12" t="s">
        <v>286</v>
      </c>
      <c r="X544" s="5" t="s">
        <v>2788</v>
      </c>
      <c r="Y544" s="12" t="s">
        <v>457</v>
      </c>
      <c r="Z544" s="12"/>
      <c r="AA544" s="5"/>
      <c r="AB544" s="193">
        <v>43595</v>
      </c>
      <c r="AC544" s="35" t="s">
        <v>3276</v>
      </c>
      <c r="AE544" s="219"/>
    </row>
    <row r="545" spans="1:51" s="282" customFormat="1" ht="43.2">
      <c r="A545" s="888"/>
      <c r="B545" s="141" t="s">
        <v>28</v>
      </c>
      <c r="C545" s="67" t="s">
        <v>3277</v>
      </c>
      <c r="D545" s="9" t="s">
        <v>82</v>
      </c>
      <c r="E545" s="9"/>
      <c r="F545" s="9"/>
      <c r="G545" s="9"/>
      <c r="H545" s="1335" t="s">
        <v>316</v>
      </c>
      <c r="I545" s="8" t="s">
        <v>34</v>
      </c>
      <c r="J545" s="16" t="s">
        <v>3278</v>
      </c>
      <c r="K545" s="8"/>
      <c r="L545" s="8"/>
      <c r="M545" s="328">
        <v>43525</v>
      </c>
      <c r="N545" s="328"/>
      <c r="O545" s="328">
        <v>43709</v>
      </c>
      <c r="P545" s="66">
        <v>12</v>
      </c>
      <c r="Q545" s="66" t="s">
        <v>35</v>
      </c>
      <c r="R545" s="153">
        <v>90000</v>
      </c>
      <c r="S545" s="5" t="s">
        <v>35</v>
      </c>
      <c r="T545" s="26" t="s">
        <v>54</v>
      </c>
      <c r="U545" s="4"/>
      <c r="V545" s="4"/>
      <c r="W545" s="5" t="s">
        <v>3279</v>
      </c>
      <c r="X545" s="5" t="s">
        <v>254</v>
      </c>
      <c r="Y545" s="5" t="s">
        <v>39</v>
      </c>
      <c r="Z545" s="5"/>
      <c r="AA545" s="154"/>
      <c r="AB545" s="193">
        <v>43741</v>
      </c>
      <c r="AC545" s="78" t="s">
        <v>3280</v>
      </c>
      <c r="AD545" s="1"/>
      <c r="AE545" s="224" t="s">
        <v>3281</v>
      </c>
      <c r="AF545" s="1"/>
      <c r="AG545" s="1360"/>
      <c r="AH545" s="1360"/>
      <c r="AI545" s="1360"/>
      <c r="AJ545" s="1360"/>
      <c r="AK545" s="1360"/>
      <c r="AL545" s="1360"/>
      <c r="AM545" s="1360"/>
      <c r="AN545" s="1360"/>
      <c r="AO545" s="1360"/>
      <c r="AP545" s="1360"/>
      <c r="AQ545" s="1360"/>
      <c r="AR545" s="1360"/>
      <c r="AS545" s="1360"/>
      <c r="AT545" s="1360"/>
      <c r="AU545" s="1360"/>
      <c r="AV545" s="1360"/>
      <c r="AW545" s="1360"/>
      <c r="AX545" s="1360"/>
      <c r="AY545" s="1360"/>
    </row>
    <row r="546" spans="1:51" s="282" customFormat="1" ht="43.2">
      <c r="A546" s="888"/>
      <c r="B546" s="141" t="s">
        <v>28</v>
      </c>
      <c r="C546" s="67" t="s">
        <v>3282</v>
      </c>
      <c r="D546" s="8" t="s">
        <v>29</v>
      </c>
      <c r="E546" s="8"/>
      <c r="F546" s="8"/>
      <c r="G546" s="8"/>
      <c r="H546" s="5" t="s">
        <v>70</v>
      </c>
      <c r="I546" s="5" t="s">
        <v>64</v>
      </c>
      <c r="J546" s="16" t="s">
        <v>539</v>
      </c>
      <c r="K546" s="16"/>
      <c r="L546" s="16"/>
      <c r="M546" s="176">
        <v>43556</v>
      </c>
      <c r="N546" s="176"/>
      <c r="O546" s="176">
        <v>43709</v>
      </c>
      <c r="P546" s="12">
        <v>36</v>
      </c>
      <c r="Q546" s="7" t="s">
        <v>1307</v>
      </c>
      <c r="R546" s="18">
        <v>993867</v>
      </c>
      <c r="S546" s="5" t="s">
        <v>66</v>
      </c>
      <c r="T546" s="27" t="s">
        <v>41</v>
      </c>
      <c r="U546" s="4"/>
      <c r="V546" s="4"/>
      <c r="W546" s="5" t="s">
        <v>541</v>
      </c>
      <c r="X546" s="5" t="s">
        <v>150</v>
      </c>
      <c r="Y546" s="5" t="s">
        <v>457</v>
      </c>
      <c r="Z546" s="5"/>
      <c r="AA546" s="5"/>
      <c r="AB546" s="193">
        <v>43573</v>
      </c>
      <c r="AC546" s="35" t="s">
        <v>3283</v>
      </c>
      <c r="AD546" s="1"/>
      <c r="AE546" s="215">
        <v>331289</v>
      </c>
      <c r="AF546" s="1"/>
      <c r="AG546" s="1360"/>
      <c r="AH546" s="1360"/>
      <c r="AI546" s="1360"/>
      <c r="AJ546" s="1360"/>
      <c r="AK546" s="1360"/>
      <c r="AL546" s="1360"/>
      <c r="AM546" s="1360"/>
      <c r="AN546" s="1360"/>
      <c r="AO546" s="1360"/>
      <c r="AP546" s="1360"/>
      <c r="AQ546" s="1360"/>
      <c r="AR546" s="1360"/>
      <c r="AS546" s="1360"/>
      <c r="AT546" s="1360"/>
      <c r="AU546" s="1360"/>
      <c r="AV546" s="1360"/>
      <c r="AW546" s="1360"/>
      <c r="AX546" s="1360"/>
      <c r="AY546" s="1360"/>
    </row>
    <row r="547" spans="1:51" s="282" customFormat="1" ht="57.6">
      <c r="A547" s="887"/>
      <c r="B547" s="141" t="s">
        <v>28</v>
      </c>
      <c r="C547" s="67" t="s">
        <v>1254</v>
      </c>
      <c r="D547" s="127" t="s">
        <v>29</v>
      </c>
      <c r="E547" s="127"/>
      <c r="F547" s="127"/>
      <c r="G547" s="127"/>
      <c r="H547" s="120" t="s">
        <v>364</v>
      </c>
      <c r="I547" s="121" t="s">
        <v>34</v>
      </c>
      <c r="J547" s="122" t="s">
        <v>3284</v>
      </c>
      <c r="K547" s="122"/>
      <c r="L547" s="122"/>
      <c r="M547" s="123">
        <v>43556</v>
      </c>
      <c r="N547" s="123"/>
      <c r="O547" s="123">
        <v>43709</v>
      </c>
      <c r="P547" s="124">
        <v>66</v>
      </c>
      <c r="Q547" s="125">
        <v>66</v>
      </c>
      <c r="R547" s="126">
        <v>76000</v>
      </c>
      <c r="S547" s="124" t="s">
        <v>217</v>
      </c>
      <c r="T547" s="159" t="s">
        <v>54</v>
      </c>
      <c r="U547" s="4"/>
      <c r="V547" s="4"/>
      <c r="W547" s="125" t="s">
        <v>3271</v>
      </c>
      <c r="X547" s="125" t="s">
        <v>94</v>
      </c>
      <c r="Y547" s="125" t="s">
        <v>457</v>
      </c>
      <c r="Z547" s="125"/>
      <c r="AA547" s="1227"/>
      <c r="AB547" s="316">
        <v>43606</v>
      </c>
      <c r="AC547" s="1241" t="s">
        <v>3285</v>
      </c>
      <c r="AD547" s="34"/>
      <c r="AE547" s="225"/>
      <c r="AF547" s="1"/>
      <c r="AG547" s="1360"/>
      <c r="AH547" s="1360"/>
      <c r="AI547" s="1360"/>
      <c r="AJ547" s="1360"/>
      <c r="AK547" s="1360"/>
      <c r="AL547" s="1360"/>
      <c r="AM547" s="1360"/>
      <c r="AN547" s="1360"/>
      <c r="AO547" s="1360"/>
      <c r="AP547" s="1360"/>
      <c r="AQ547" s="1360"/>
      <c r="AR547" s="1360"/>
      <c r="AS547" s="1360"/>
      <c r="AT547" s="1360"/>
      <c r="AU547" s="1360"/>
      <c r="AV547" s="1360"/>
      <c r="AW547" s="1360"/>
      <c r="AX547" s="1360"/>
      <c r="AY547" s="1360"/>
    </row>
    <row r="548" spans="1:51" s="282" customFormat="1" ht="57.6">
      <c r="A548" s="888"/>
      <c r="B548" s="141" t="s">
        <v>28</v>
      </c>
      <c r="C548" s="240" t="s">
        <v>3286</v>
      </c>
      <c r="D548" s="1406" t="s">
        <v>29</v>
      </c>
      <c r="E548" s="1406"/>
      <c r="F548" s="1406"/>
      <c r="G548" s="1406"/>
      <c r="H548" s="1399" t="s">
        <v>364</v>
      </c>
      <c r="I548" s="1400" t="s">
        <v>34</v>
      </c>
      <c r="J548" s="1401" t="s">
        <v>3287</v>
      </c>
      <c r="K548" s="1401"/>
      <c r="L548" s="1401"/>
      <c r="M548" s="1402">
        <v>43556</v>
      </c>
      <c r="N548" s="1402"/>
      <c r="O548" s="1402">
        <v>43709</v>
      </c>
      <c r="P548" s="1400">
        <v>29</v>
      </c>
      <c r="Q548" s="1399">
        <v>29</v>
      </c>
      <c r="R548" s="18">
        <v>6000</v>
      </c>
      <c r="S548" s="1400" t="s">
        <v>909</v>
      </c>
      <c r="T548" s="1436" t="s">
        <v>54</v>
      </c>
      <c r="U548" s="4"/>
      <c r="V548" s="4"/>
      <c r="W548" s="125" t="s">
        <v>3271</v>
      </c>
      <c r="X548" s="5" t="s">
        <v>94</v>
      </c>
      <c r="Y548" s="5" t="s">
        <v>457</v>
      </c>
      <c r="Z548" s="5"/>
      <c r="AA548" s="1358"/>
      <c r="AB548" s="1443">
        <v>43671</v>
      </c>
      <c r="AC548" s="1444" t="s">
        <v>3288</v>
      </c>
      <c r="AD548" s="34"/>
      <c r="AE548" s="1445"/>
      <c r="AF548" s="1"/>
      <c r="AG548" s="1360"/>
      <c r="AH548" s="1360"/>
      <c r="AI548" s="1360"/>
      <c r="AJ548" s="1360"/>
      <c r="AK548" s="1360"/>
      <c r="AL548" s="1360"/>
      <c r="AM548" s="1360"/>
      <c r="AN548" s="1360"/>
      <c r="AO548" s="1360"/>
      <c r="AP548" s="1360"/>
      <c r="AQ548" s="1360"/>
      <c r="AR548" s="1360"/>
      <c r="AS548" s="1360"/>
      <c r="AT548" s="1360"/>
      <c r="AU548" s="1360"/>
      <c r="AV548" s="1360"/>
      <c r="AW548" s="1360"/>
      <c r="AX548" s="1360"/>
      <c r="AY548" s="1360"/>
    </row>
    <row r="549" spans="1:51" s="282" customFormat="1" ht="57.6">
      <c r="A549" s="888"/>
      <c r="B549" s="141" t="s">
        <v>28</v>
      </c>
      <c r="C549" s="67" t="s">
        <v>3289</v>
      </c>
      <c r="D549" s="136" t="s">
        <v>29</v>
      </c>
      <c r="E549" s="136"/>
      <c r="F549" s="136"/>
      <c r="G549" s="136"/>
      <c r="H549" s="128" t="s">
        <v>364</v>
      </c>
      <c r="I549" s="129" t="s">
        <v>34</v>
      </c>
      <c r="J549" s="130" t="s">
        <v>3269</v>
      </c>
      <c r="K549" s="130"/>
      <c r="L549" s="130"/>
      <c r="M549" s="131">
        <v>43556</v>
      </c>
      <c r="N549" s="131"/>
      <c r="O549" s="131">
        <v>43709</v>
      </c>
      <c r="P549" s="132">
        <v>36</v>
      </c>
      <c r="Q549" s="135" t="s">
        <v>236</v>
      </c>
      <c r="R549" s="126">
        <v>24000</v>
      </c>
      <c r="S549" s="132" t="s">
        <v>909</v>
      </c>
      <c r="T549" s="1352" t="s">
        <v>54</v>
      </c>
      <c r="U549" s="4"/>
      <c r="V549" s="4"/>
      <c r="W549" s="135" t="s">
        <v>3271</v>
      </c>
      <c r="X549" s="135" t="s">
        <v>94</v>
      </c>
      <c r="Y549" s="135" t="s">
        <v>457</v>
      </c>
      <c r="Z549" s="135"/>
      <c r="AA549" s="136"/>
      <c r="AB549" s="1386">
        <v>43647</v>
      </c>
      <c r="AC549" s="78" t="s">
        <v>3290</v>
      </c>
      <c r="AD549" s="34"/>
      <c r="AE549" s="226"/>
      <c r="AF549" s="1"/>
      <c r="AG549" s="1360"/>
      <c r="AH549" s="1360"/>
      <c r="AI549" s="1360"/>
      <c r="AJ549" s="1360"/>
      <c r="AK549" s="1360"/>
      <c r="AL549" s="1360"/>
      <c r="AM549" s="1360"/>
      <c r="AN549" s="1360"/>
      <c r="AO549" s="1360"/>
      <c r="AP549" s="1360"/>
      <c r="AQ549" s="1360"/>
      <c r="AR549" s="1360"/>
      <c r="AS549" s="1360"/>
      <c r="AT549" s="1360"/>
      <c r="AU549" s="1360"/>
      <c r="AV549" s="1360"/>
      <c r="AW549" s="1360"/>
      <c r="AX549" s="1360"/>
      <c r="AY549" s="1360"/>
    </row>
    <row r="550" spans="1:51" s="1" customFormat="1" ht="57.6" customHeight="1">
      <c r="A550" s="888"/>
      <c r="B550" s="141" t="s">
        <v>28</v>
      </c>
      <c r="C550" s="67" t="s">
        <v>3291</v>
      </c>
      <c r="D550" s="5" t="s">
        <v>29</v>
      </c>
      <c r="E550" s="5"/>
      <c r="F550" s="5"/>
      <c r="G550" s="5"/>
      <c r="H550" s="128" t="s">
        <v>364</v>
      </c>
      <c r="I550" s="129" t="s">
        <v>34</v>
      </c>
      <c r="J550" s="130" t="s">
        <v>3292</v>
      </c>
      <c r="K550" s="130"/>
      <c r="L550" s="130"/>
      <c r="M550" s="131">
        <v>43556</v>
      </c>
      <c r="N550" s="131"/>
      <c r="O550" s="131">
        <v>43709</v>
      </c>
      <c r="P550" s="132"/>
      <c r="Q550" s="135"/>
      <c r="R550" s="126">
        <v>648000</v>
      </c>
      <c r="S550" s="132"/>
      <c r="T550" s="1352" t="s">
        <v>54</v>
      </c>
      <c r="U550" s="114"/>
      <c r="V550" s="114"/>
      <c r="W550" s="135" t="s">
        <v>3271</v>
      </c>
      <c r="X550" s="135" t="s">
        <v>94</v>
      </c>
      <c r="Y550" s="135" t="s">
        <v>457</v>
      </c>
      <c r="Z550" s="135"/>
      <c r="AA550" s="136"/>
      <c r="AB550" s="1386">
        <v>43707</v>
      </c>
      <c r="AC550" s="78" t="s">
        <v>3293</v>
      </c>
      <c r="AD550" s="34"/>
      <c r="AE550" s="226"/>
    </row>
    <row r="551" spans="1:51" s="282" customFormat="1" ht="43.2">
      <c r="A551" s="888"/>
      <c r="B551" s="141" t="s">
        <v>28</v>
      </c>
      <c r="C551" s="67" t="s">
        <v>35</v>
      </c>
      <c r="D551" s="5" t="s">
        <v>29</v>
      </c>
      <c r="E551" s="5"/>
      <c r="F551" s="5"/>
      <c r="G551" s="5"/>
      <c r="H551" s="137" t="s">
        <v>364</v>
      </c>
      <c r="I551" s="103" t="s">
        <v>34</v>
      </c>
      <c r="J551" s="138" t="s">
        <v>3294</v>
      </c>
      <c r="K551" s="138"/>
      <c r="L551" s="138"/>
      <c r="M551" s="139">
        <v>43556</v>
      </c>
      <c r="N551" s="139"/>
      <c r="O551" s="139">
        <v>43709</v>
      </c>
      <c r="P551" s="132">
        <v>66</v>
      </c>
      <c r="Q551" s="135" t="s">
        <v>3295</v>
      </c>
      <c r="R551" s="126">
        <v>108000</v>
      </c>
      <c r="S551" s="132" t="s">
        <v>109</v>
      </c>
      <c r="T551" s="1352" t="s">
        <v>54</v>
      </c>
      <c r="U551" s="4"/>
      <c r="V551" s="4"/>
      <c r="W551" s="135" t="s">
        <v>3296</v>
      </c>
      <c r="X551" s="135" t="s">
        <v>1053</v>
      </c>
      <c r="Y551" s="135" t="s">
        <v>457</v>
      </c>
      <c r="Z551" s="135"/>
      <c r="AA551" s="136"/>
      <c r="AB551" s="193">
        <v>43740</v>
      </c>
      <c r="AC551" s="8" t="s">
        <v>1246</v>
      </c>
      <c r="AD551" s="34"/>
      <c r="AE551" s="226"/>
      <c r="AF551" s="1"/>
      <c r="AG551" s="1360"/>
      <c r="AH551" s="1360"/>
      <c r="AI551" s="1360"/>
      <c r="AJ551" s="1360"/>
      <c r="AK551" s="1360"/>
      <c r="AL551" s="1360"/>
      <c r="AM551" s="1360"/>
      <c r="AN551" s="1360"/>
      <c r="AO551" s="1360"/>
      <c r="AP551" s="1360"/>
      <c r="AQ551" s="1360"/>
      <c r="AR551" s="1360"/>
      <c r="AS551" s="1360"/>
      <c r="AT551" s="1360"/>
      <c r="AU551" s="1360"/>
      <c r="AV551" s="1360"/>
      <c r="AW551" s="1360"/>
      <c r="AX551" s="1360"/>
      <c r="AY551" s="1360"/>
    </row>
    <row r="552" spans="1:51" s="1" customFormat="1" ht="201.6" customHeight="1">
      <c r="A552" s="888"/>
      <c r="B552" s="141" t="s">
        <v>28</v>
      </c>
      <c r="C552" s="67" t="s">
        <v>35</v>
      </c>
      <c r="D552" s="9" t="s">
        <v>29</v>
      </c>
      <c r="E552" s="9"/>
      <c r="F552" s="9"/>
      <c r="G552" s="9"/>
      <c r="H552" s="128" t="s">
        <v>364</v>
      </c>
      <c r="I552" s="129" t="s">
        <v>34</v>
      </c>
      <c r="J552" s="130" t="s">
        <v>3297</v>
      </c>
      <c r="K552" s="130"/>
      <c r="L552" s="130"/>
      <c r="M552" s="131">
        <v>43556</v>
      </c>
      <c r="N552" s="131"/>
      <c r="O552" s="131">
        <v>43709</v>
      </c>
      <c r="P552" s="132"/>
      <c r="Q552" s="135"/>
      <c r="R552" s="126">
        <v>9000</v>
      </c>
      <c r="S552" s="132"/>
      <c r="T552" s="1332" t="s">
        <v>54</v>
      </c>
      <c r="U552" s="4"/>
      <c r="V552" s="4"/>
      <c r="W552" s="135" t="s">
        <v>3296</v>
      </c>
      <c r="X552" s="135" t="s">
        <v>3298</v>
      </c>
      <c r="Y552" s="135" t="s">
        <v>179</v>
      </c>
      <c r="Z552" s="135"/>
      <c r="AA552" s="136"/>
      <c r="AB552" s="193">
        <v>43728</v>
      </c>
      <c r="AC552" s="78" t="s">
        <v>3299</v>
      </c>
      <c r="AD552" s="34"/>
      <c r="AE552" s="226"/>
    </row>
    <row r="553" spans="1:51" s="1" customFormat="1" ht="43.35" customHeight="1">
      <c r="A553" s="888"/>
      <c r="B553" s="420" t="s">
        <v>145</v>
      </c>
      <c r="C553" s="427"/>
      <c r="D553" s="8" t="s">
        <v>82</v>
      </c>
      <c r="E553" s="8"/>
      <c r="F553" s="8"/>
      <c r="G553" s="8"/>
      <c r="H553" s="8" t="s">
        <v>316</v>
      </c>
      <c r="I553" s="8" t="s">
        <v>34</v>
      </c>
      <c r="J553" s="16" t="s">
        <v>3300</v>
      </c>
      <c r="K553" s="8"/>
      <c r="L553" s="78">
        <v>1</v>
      </c>
      <c r="M553" s="394">
        <f>IFERROR(EDATE(N553,-3),"Invalid procurement method or date entered")</f>
        <v>43586</v>
      </c>
      <c r="N553" s="346">
        <f>IFERROR(EDATE(O553,-L553),"Invalid procurement method or date entered")</f>
        <v>43678</v>
      </c>
      <c r="O553" s="328">
        <v>43709</v>
      </c>
      <c r="P553" s="66">
        <v>14</v>
      </c>
      <c r="Q553" s="66">
        <v>14</v>
      </c>
      <c r="R553" s="153">
        <v>10000</v>
      </c>
      <c r="S553" s="5" t="s">
        <v>909</v>
      </c>
      <c r="T553" s="350" t="s">
        <v>54</v>
      </c>
      <c r="U553" s="326" t="s">
        <v>43</v>
      </c>
      <c r="V553" s="326"/>
      <c r="W553" s="8" t="s">
        <v>3301</v>
      </c>
      <c r="X553" s="8" t="s">
        <v>1119</v>
      </c>
      <c r="Y553" s="8" t="s">
        <v>59</v>
      </c>
      <c r="Z553" s="8"/>
      <c r="AA553" s="154"/>
      <c r="AB553" s="171">
        <v>43843</v>
      </c>
      <c r="AC553" s="78" t="s">
        <v>3302</v>
      </c>
      <c r="AD553" s="451"/>
      <c r="AE553" s="446"/>
    </row>
    <row r="554" spans="1:51" s="1" customFormat="1" ht="57.6">
      <c r="A554" s="888"/>
      <c r="B554" s="141" t="s">
        <v>28</v>
      </c>
      <c r="C554" s="67" t="s">
        <v>3303</v>
      </c>
      <c r="D554" s="5" t="s">
        <v>29</v>
      </c>
      <c r="E554" s="5"/>
      <c r="F554" s="5"/>
      <c r="G554" s="5"/>
      <c r="H554" s="5" t="s">
        <v>364</v>
      </c>
      <c r="I554" s="5" t="s">
        <v>34</v>
      </c>
      <c r="J554" s="16" t="s">
        <v>3304</v>
      </c>
      <c r="K554" s="16"/>
      <c r="L554" s="16"/>
      <c r="M554" s="176">
        <v>43617</v>
      </c>
      <c r="N554" s="176"/>
      <c r="O554" s="176">
        <v>43709</v>
      </c>
      <c r="P554" s="12">
        <v>24</v>
      </c>
      <c r="Q554" s="13" t="s">
        <v>365</v>
      </c>
      <c r="R554" s="18">
        <v>21000</v>
      </c>
      <c r="S554" s="5" t="s">
        <v>909</v>
      </c>
      <c r="T554" s="26" t="s">
        <v>54</v>
      </c>
      <c r="U554" s="12" t="s">
        <v>37</v>
      </c>
      <c r="V554" s="12"/>
      <c r="W554" s="5" t="s">
        <v>415</v>
      </c>
      <c r="X554" s="5" t="s">
        <v>1053</v>
      </c>
      <c r="Y554" s="5" t="s">
        <v>457</v>
      </c>
      <c r="Z554" s="5"/>
      <c r="AA554" s="5"/>
      <c r="AB554" s="193">
        <v>43941</v>
      </c>
      <c r="AC554" s="8" t="s">
        <v>1246</v>
      </c>
      <c r="AD554" s="1446" t="s">
        <v>416</v>
      </c>
      <c r="AE554" s="158"/>
      <c r="AF554" s="1360"/>
    </row>
    <row r="555" spans="1:51" s="1" customFormat="1" ht="57.6">
      <c r="A555" s="888"/>
      <c r="B555" s="141" t="s">
        <v>28</v>
      </c>
      <c r="C555" s="96" t="s">
        <v>3305</v>
      </c>
      <c r="D555" s="8" t="s">
        <v>29</v>
      </c>
      <c r="E555" s="8"/>
      <c r="F555" s="8"/>
      <c r="G555" s="8"/>
      <c r="H555" s="5" t="s">
        <v>364</v>
      </c>
      <c r="I555" s="5" t="s">
        <v>34</v>
      </c>
      <c r="J555" s="130" t="s">
        <v>3269</v>
      </c>
      <c r="K555" s="130"/>
      <c r="L555" s="130"/>
      <c r="M555" s="176">
        <v>43617</v>
      </c>
      <c r="N555" s="176"/>
      <c r="O555" s="176">
        <v>43709</v>
      </c>
      <c r="P555" s="12">
        <v>36</v>
      </c>
      <c r="Q555" s="13" t="s">
        <v>488</v>
      </c>
      <c r="R555" s="18">
        <v>12000</v>
      </c>
      <c r="S555" s="5" t="s">
        <v>909</v>
      </c>
      <c r="T555" s="27" t="s">
        <v>54</v>
      </c>
      <c r="U555" s="10"/>
      <c r="V555" s="10"/>
      <c r="W555" s="125" t="s">
        <v>3271</v>
      </c>
      <c r="X555" s="5" t="s">
        <v>94</v>
      </c>
      <c r="Y555" s="5" t="s">
        <v>457</v>
      </c>
      <c r="Z555" s="5"/>
      <c r="AA555" s="5"/>
      <c r="AB555" s="193">
        <v>43647</v>
      </c>
      <c r="AC555" s="8" t="s">
        <v>3290</v>
      </c>
      <c r="AD555" s="34"/>
      <c r="AE555" s="158"/>
    </row>
    <row r="556" spans="1:51" s="1" customFormat="1" ht="43.35" customHeight="1">
      <c r="A556" s="888"/>
      <c r="B556" s="141" t="s">
        <v>28</v>
      </c>
      <c r="C556" s="67" t="s">
        <v>3306</v>
      </c>
      <c r="D556" s="5" t="s">
        <v>29</v>
      </c>
      <c r="E556" s="5"/>
      <c r="F556" s="5"/>
      <c r="G556" s="5"/>
      <c r="H556" s="5" t="s">
        <v>364</v>
      </c>
      <c r="I556" s="5" t="s">
        <v>34</v>
      </c>
      <c r="J556" s="16" t="s">
        <v>3307</v>
      </c>
      <c r="K556" s="16"/>
      <c r="L556" s="16"/>
      <c r="M556" s="176">
        <v>43617</v>
      </c>
      <c r="N556" s="176"/>
      <c r="O556" s="176">
        <v>43709</v>
      </c>
      <c r="P556" s="12">
        <v>60</v>
      </c>
      <c r="Q556" s="13" t="s">
        <v>358</v>
      </c>
      <c r="R556" s="18">
        <v>24000</v>
      </c>
      <c r="S556" s="5" t="s">
        <v>909</v>
      </c>
      <c r="T556" s="27" t="s">
        <v>54</v>
      </c>
      <c r="U556" s="4"/>
      <c r="V556" s="4"/>
      <c r="W556" s="125" t="s">
        <v>3271</v>
      </c>
      <c r="X556" s="5" t="s">
        <v>94</v>
      </c>
      <c r="Y556" s="5" t="s">
        <v>457</v>
      </c>
      <c r="Z556" s="5"/>
      <c r="AA556" s="5"/>
      <c r="AB556" s="193">
        <v>43714</v>
      </c>
      <c r="AC556" s="8" t="s">
        <v>3308</v>
      </c>
      <c r="AD556" s="34"/>
      <c r="AE556" s="158"/>
      <c r="AF556" s="1360"/>
    </row>
    <row r="557" spans="1:51" s="1" customFormat="1" ht="43.2">
      <c r="A557" s="888"/>
      <c r="B557" s="141" t="s">
        <v>28</v>
      </c>
      <c r="C557" s="102" t="s">
        <v>3309</v>
      </c>
      <c r="D557" s="5" t="s">
        <v>29</v>
      </c>
      <c r="E557" s="5"/>
      <c r="F557" s="5"/>
      <c r="G557" s="5"/>
      <c r="H557" s="5" t="s">
        <v>364</v>
      </c>
      <c r="I557" s="5" t="s">
        <v>34</v>
      </c>
      <c r="J557" s="16" t="s">
        <v>3310</v>
      </c>
      <c r="K557" s="16"/>
      <c r="L557" s="16"/>
      <c r="M557" s="176">
        <v>43617</v>
      </c>
      <c r="N557" s="176"/>
      <c r="O557" s="176">
        <v>43709</v>
      </c>
      <c r="P557" s="12">
        <v>90</v>
      </c>
      <c r="Q557" s="13" t="s">
        <v>3311</v>
      </c>
      <c r="R557" s="18">
        <v>108000</v>
      </c>
      <c r="S557" s="5" t="s">
        <v>217</v>
      </c>
      <c r="T557" s="27" t="s">
        <v>54</v>
      </c>
      <c r="U557" s="4"/>
      <c r="V557" s="4"/>
      <c r="W557" s="125" t="s">
        <v>3296</v>
      </c>
      <c r="X557" s="5" t="s">
        <v>1053</v>
      </c>
      <c r="Y557" s="5" t="s">
        <v>457</v>
      </c>
      <c r="Z557" s="5"/>
      <c r="AA557" s="5"/>
      <c r="AB557" s="193">
        <v>43746</v>
      </c>
      <c r="AC557" s="8" t="s">
        <v>1246</v>
      </c>
      <c r="AE557" s="158"/>
      <c r="AF557" s="1360"/>
    </row>
    <row r="558" spans="1:51" s="1" customFormat="1" ht="57.6">
      <c r="A558" s="888"/>
      <c r="B558" s="141" t="s">
        <v>28</v>
      </c>
      <c r="C558" s="67"/>
      <c r="D558" s="1400" t="s">
        <v>29</v>
      </c>
      <c r="E558" s="1400"/>
      <c r="F558" s="1400"/>
      <c r="G558" s="1400"/>
      <c r="H558" s="1399" t="s">
        <v>364</v>
      </c>
      <c r="I558" s="1400" t="s">
        <v>34</v>
      </c>
      <c r="J558" s="1401" t="s">
        <v>3312</v>
      </c>
      <c r="K558" s="1401"/>
      <c r="L558" s="1401"/>
      <c r="M558" s="1402">
        <v>43678</v>
      </c>
      <c r="N558" s="1402"/>
      <c r="O558" s="1402">
        <v>43709</v>
      </c>
      <c r="P558" s="1400">
        <v>36</v>
      </c>
      <c r="Q558" s="1399">
        <v>36</v>
      </c>
      <c r="R558" s="18">
        <v>18000</v>
      </c>
      <c r="S558" s="1400" t="s">
        <v>909</v>
      </c>
      <c r="T558" s="1436" t="s">
        <v>54</v>
      </c>
      <c r="U558" s="114"/>
      <c r="V558" s="114"/>
      <c r="W558" s="125" t="s">
        <v>3271</v>
      </c>
      <c r="X558" s="5" t="s">
        <v>94</v>
      </c>
      <c r="Y558" s="5" t="s">
        <v>457</v>
      </c>
      <c r="Z558" s="5"/>
      <c r="AA558" s="1406"/>
      <c r="AB558" s="1386">
        <v>43705</v>
      </c>
      <c r="AC558" s="1407" t="s">
        <v>3313</v>
      </c>
      <c r="AD558" s="34"/>
      <c r="AE558" s="1445"/>
      <c r="AF558" s="1360"/>
    </row>
    <row r="559" spans="1:51" s="1" customFormat="1" ht="43.35" customHeight="1">
      <c r="A559" s="888"/>
      <c r="B559" s="141" t="s">
        <v>28</v>
      </c>
      <c r="C559" s="67" t="s">
        <v>3314</v>
      </c>
      <c r="D559" s="5" t="s">
        <v>29</v>
      </c>
      <c r="E559" s="5"/>
      <c r="F559" s="5"/>
      <c r="G559" s="5"/>
      <c r="H559" s="1375" t="s">
        <v>364</v>
      </c>
      <c r="I559" s="1403" t="s">
        <v>34</v>
      </c>
      <c r="J559" s="1447" t="s">
        <v>3315</v>
      </c>
      <c r="K559" s="1447"/>
      <c r="L559" s="1447"/>
      <c r="M559" s="14">
        <v>43678</v>
      </c>
      <c r="N559" s="14"/>
      <c r="O559" s="14">
        <v>43709</v>
      </c>
      <c r="P559" s="1403">
        <v>39</v>
      </c>
      <c r="Q559" s="1375" t="s">
        <v>3316</v>
      </c>
      <c r="R559" s="18">
        <v>4000</v>
      </c>
      <c r="S559" s="1403" t="s">
        <v>909</v>
      </c>
      <c r="T559" s="1439" t="s">
        <v>54</v>
      </c>
      <c r="U559" s="4"/>
      <c r="V559" s="4"/>
      <c r="W559" s="125" t="s">
        <v>3296</v>
      </c>
      <c r="X559" s="5" t="s">
        <v>3298</v>
      </c>
      <c r="Y559" s="5" t="s">
        <v>457</v>
      </c>
      <c r="Z559" s="5"/>
      <c r="AA559" s="5"/>
      <c r="AB559" s="193">
        <v>43732</v>
      </c>
      <c r="AC559" s="1448" t="s">
        <v>1246</v>
      </c>
      <c r="AD559" s="1358"/>
      <c r="AE559" s="158"/>
      <c r="AF559" s="1360"/>
    </row>
    <row r="560" spans="1:51" s="1" customFormat="1" ht="57.6">
      <c r="A560" s="888"/>
      <c r="B560" s="141" t="s">
        <v>28</v>
      </c>
      <c r="C560" s="96" t="s">
        <v>35</v>
      </c>
      <c r="D560" s="1403" t="s">
        <v>29</v>
      </c>
      <c r="E560" s="1403"/>
      <c r="F560" s="1403"/>
      <c r="G560" s="1403"/>
      <c r="H560" s="1375" t="s">
        <v>364</v>
      </c>
      <c r="I560" s="1403" t="s">
        <v>34</v>
      </c>
      <c r="J560" s="1447" t="s">
        <v>3317</v>
      </c>
      <c r="K560" s="1447"/>
      <c r="L560" s="1447"/>
      <c r="M560" s="1429">
        <v>43678</v>
      </c>
      <c r="N560" s="1429"/>
      <c r="O560" s="1429">
        <v>43709</v>
      </c>
      <c r="P560" s="1403">
        <v>24</v>
      </c>
      <c r="Q560" s="1375">
        <v>24</v>
      </c>
      <c r="R560" s="18">
        <v>35000</v>
      </c>
      <c r="S560" s="1375" t="s">
        <v>217</v>
      </c>
      <c r="T560" s="1439" t="s">
        <v>54</v>
      </c>
      <c r="U560" s="4"/>
      <c r="V560" s="4"/>
      <c r="W560" s="125" t="s">
        <v>3318</v>
      </c>
      <c r="X560" s="1375" t="s">
        <v>1053</v>
      </c>
      <c r="Y560" s="1375" t="s">
        <v>457</v>
      </c>
      <c r="Z560" s="1375"/>
      <c r="AA560" s="1403"/>
      <c r="AB560" s="193">
        <v>43739</v>
      </c>
      <c r="AC560" s="1365" t="s">
        <v>1246</v>
      </c>
      <c r="AD560" s="34"/>
      <c r="AE560" s="1445"/>
      <c r="AF560" s="93"/>
    </row>
    <row r="561" spans="1:32" s="1" customFormat="1" ht="57.6" customHeight="1">
      <c r="A561" s="888"/>
      <c r="B561" s="141" t="s">
        <v>28</v>
      </c>
      <c r="C561" s="67" t="s">
        <v>1099</v>
      </c>
      <c r="D561" s="9" t="s">
        <v>60</v>
      </c>
      <c r="E561" s="9"/>
      <c r="F561" s="9"/>
      <c r="G561" s="9"/>
      <c r="H561" s="5" t="s">
        <v>63</v>
      </c>
      <c r="I561" s="5" t="s">
        <v>34</v>
      </c>
      <c r="J561" s="16" t="s">
        <v>3319</v>
      </c>
      <c r="K561" s="8"/>
      <c r="L561" s="8"/>
      <c r="M561" s="193">
        <v>43700</v>
      </c>
      <c r="N561" s="193"/>
      <c r="O561" s="193">
        <v>43709</v>
      </c>
      <c r="P561" s="5">
        <v>11</v>
      </c>
      <c r="Q561" s="7" t="s">
        <v>3320</v>
      </c>
      <c r="R561" s="18">
        <v>30200</v>
      </c>
      <c r="S561" s="193" t="s">
        <v>217</v>
      </c>
      <c r="T561" s="157" t="s">
        <v>54</v>
      </c>
      <c r="U561" s="4"/>
      <c r="V561" s="4"/>
      <c r="W561" s="5" t="s">
        <v>233</v>
      </c>
      <c r="X561" s="5" t="s">
        <v>219</v>
      </c>
      <c r="Y561" s="5" t="s">
        <v>457</v>
      </c>
      <c r="Z561" s="5"/>
      <c r="AA561" s="5"/>
      <c r="AB561" s="193">
        <v>43700</v>
      </c>
      <c r="AC561" s="8" t="s">
        <v>3321</v>
      </c>
      <c r="AE561" s="158">
        <v>15200</v>
      </c>
    </row>
    <row r="562" spans="1:32" s="1" customFormat="1" ht="52.8">
      <c r="A562" s="852"/>
      <c r="B562" s="713" t="s">
        <v>48</v>
      </c>
      <c r="C562" s="720" t="s">
        <v>1838</v>
      </c>
      <c r="D562" s="466" t="s">
        <v>60</v>
      </c>
      <c r="E562" s="466"/>
      <c r="F562" s="466"/>
      <c r="G562" s="466"/>
      <c r="H562" s="466" t="s">
        <v>127</v>
      </c>
      <c r="I562" s="465" t="s">
        <v>34</v>
      </c>
      <c r="J562" s="1025" t="s">
        <v>1839</v>
      </c>
      <c r="K562" s="488"/>
      <c r="L562" s="560">
        <v>43586</v>
      </c>
      <c r="M562" s="560"/>
      <c r="N562" s="560"/>
      <c r="O562" s="560">
        <v>43709</v>
      </c>
      <c r="P562" s="490">
        <v>2</v>
      </c>
      <c r="Q562" s="490">
        <v>2</v>
      </c>
      <c r="R562" s="542">
        <v>900000</v>
      </c>
      <c r="S562" s="488" t="s">
        <v>1663</v>
      </c>
      <c r="T562" s="806" t="s">
        <v>54</v>
      </c>
      <c r="U562" s="558"/>
      <c r="V562" s="558"/>
      <c r="W562" s="465" t="s">
        <v>1829</v>
      </c>
      <c r="X562" s="114"/>
      <c r="Y562" s="114"/>
      <c r="Z562" s="114"/>
      <c r="AA562" s="114"/>
      <c r="AB562" s="114"/>
      <c r="AC562" s="114"/>
      <c r="AD562"/>
      <c r="AE562" s="180"/>
    </row>
    <row r="563" spans="1:32" s="3" customFormat="1" ht="52.8">
      <c r="A563" s="852"/>
      <c r="B563" s="713" t="s">
        <v>48</v>
      </c>
      <c r="C563" s="720" t="s">
        <v>188</v>
      </c>
      <c r="D563" s="466" t="s">
        <v>60</v>
      </c>
      <c r="E563" s="466"/>
      <c r="F563" s="466"/>
      <c r="G563" s="466"/>
      <c r="H563" s="466" t="s">
        <v>127</v>
      </c>
      <c r="I563" s="474" t="s">
        <v>34</v>
      </c>
      <c r="J563" s="1024" t="s">
        <v>1847</v>
      </c>
      <c r="K563" s="467"/>
      <c r="L563" s="485">
        <v>43608</v>
      </c>
      <c r="M563" s="485"/>
      <c r="N563" s="485"/>
      <c r="O563" s="485">
        <v>43709</v>
      </c>
      <c r="P563" s="471">
        <v>2</v>
      </c>
      <c r="Q563" s="471">
        <v>2</v>
      </c>
      <c r="R563" s="542">
        <v>193644.86</v>
      </c>
      <c r="S563" s="478" t="s">
        <v>217</v>
      </c>
      <c r="T563" s="803" t="s">
        <v>54</v>
      </c>
      <c r="U563" s="470"/>
      <c r="V563" s="470"/>
      <c r="W563" s="474" t="s">
        <v>1848</v>
      </c>
      <c r="X563" s="114"/>
      <c r="Y563" s="114"/>
      <c r="Z563" s="114"/>
      <c r="AA563" s="114"/>
      <c r="AB563" s="114"/>
      <c r="AC563" s="114"/>
      <c r="AD563"/>
      <c r="AE563" s="180"/>
      <c r="AF563" s="1"/>
    </row>
    <row r="564" spans="1:32" s="1" customFormat="1" ht="43.35" customHeight="1">
      <c r="A564" s="852"/>
      <c r="B564" s="713" t="s">
        <v>48</v>
      </c>
      <c r="C564" s="720" t="s">
        <v>1880</v>
      </c>
      <c r="D564" s="466" t="s">
        <v>60</v>
      </c>
      <c r="E564" s="466"/>
      <c r="F564" s="466"/>
      <c r="G564" s="466"/>
      <c r="H564" s="466" t="s">
        <v>127</v>
      </c>
      <c r="I564" s="466" t="s">
        <v>34</v>
      </c>
      <c r="J564" s="549" t="s">
        <v>1881</v>
      </c>
      <c r="K564" s="484"/>
      <c r="L564" s="564">
        <v>43647</v>
      </c>
      <c r="M564" s="564"/>
      <c r="N564" s="564"/>
      <c r="O564" s="564">
        <v>43709</v>
      </c>
      <c r="P564" s="491" t="s">
        <v>1554</v>
      </c>
      <c r="Q564" s="491" t="s">
        <v>1554</v>
      </c>
      <c r="R564" s="550">
        <v>20900</v>
      </c>
      <c r="S564" s="484" t="s">
        <v>35</v>
      </c>
      <c r="T564" s="810" t="s">
        <v>54</v>
      </c>
      <c r="U564" s="466"/>
      <c r="V564" s="466"/>
      <c r="W564" s="466" t="s">
        <v>1757</v>
      </c>
      <c r="X564" s="114"/>
      <c r="Y564" s="114"/>
      <c r="Z564" s="114"/>
      <c r="AA564" s="114"/>
      <c r="AB564" s="114"/>
      <c r="AC564" s="114"/>
      <c r="AD564"/>
      <c r="AE564" s="180"/>
    </row>
    <row r="565" spans="1:32" s="1" customFormat="1" ht="39.6">
      <c r="A565" s="852"/>
      <c r="B565" s="713" t="s">
        <v>48</v>
      </c>
      <c r="C565" s="720" t="s">
        <v>1863</v>
      </c>
      <c r="D565" s="466" t="s">
        <v>60</v>
      </c>
      <c r="E565" s="466"/>
      <c r="F565" s="466"/>
      <c r="G565" s="466"/>
      <c r="H565" s="466" t="s">
        <v>49</v>
      </c>
      <c r="I565" s="474" t="s">
        <v>34</v>
      </c>
      <c r="J565" s="1024" t="s">
        <v>1864</v>
      </c>
      <c r="K565" s="467"/>
      <c r="L565" s="485">
        <v>43685</v>
      </c>
      <c r="M565" s="485"/>
      <c r="N565" s="485"/>
      <c r="O565" s="485">
        <v>43710</v>
      </c>
      <c r="P565" s="485">
        <v>1</v>
      </c>
      <c r="Q565" s="485">
        <v>1</v>
      </c>
      <c r="R565" s="542">
        <v>25000</v>
      </c>
      <c r="S565" s="478" t="s">
        <v>1663</v>
      </c>
      <c r="T565" s="803" t="s">
        <v>54</v>
      </c>
      <c r="U565" s="470"/>
      <c r="V565" s="470"/>
      <c r="W565" s="474" t="s">
        <v>1514</v>
      </c>
      <c r="X565" s="114"/>
      <c r="Y565" s="114"/>
      <c r="Z565" s="114"/>
      <c r="AA565" s="114"/>
      <c r="AB565" s="114"/>
      <c r="AC565" s="114"/>
      <c r="AD565"/>
      <c r="AE565" s="180"/>
    </row>
    <row r="566" spans="1:32" s="1" customFormat="1" ht="52.8">
      <c r="A566" s="852"/>
      <c r="B566" s="713" t="s">
        <v>48</v>
      </c>
      <c r="C566" s="720" t="s">
        <v>1936</v>
      </c>
      <c r="D566" s="466" t="s">
        <v>60</v>
      </c>
      <c r="E566" s="466"/>
      <c r="F566" s="466"/>
      <c r="G566" s="466"/>
      <c r="H566" s="466" t="s">
        <v>127</v>
      </c>
      <c r="I566" s="465" t="s">
        <v>34</v>
      </c>
      <c r="J566" s="1025" t="s">
        <v>1937</v>
      </c>
      <c r="K566" s="488"/>
      <c r="L566" s="560">
        <v>43656</v>
      </c>
      <c r="M566" s="560"/>
      <c r="N566" s="560"/>
      <c r="O566" s="560">
        <v>43710</v>
      </c>
      <c r="P566" s="490">
        <v>1</v>
      </c>
      <c r="Q566" s="490">
        <v>1</v>
      </c>
      <c r="R566" s="542">
        <v>356765</v>
      </c>
      <c r="S566" s="488" t="s">
        <v>1663</v>
      </c>
      <c r="T566" s="806" t="s">
        <v>36</v>
      </c>
      <c r="U566" s="558"/>
      <c r="V566" s="558"/>
      <c r="W566" s="488" t="s">
        <v>1133</v>
      </c>
      <c r="X566" s="114"/>
      <c r="Y566" s="114"/>
      <c r="Z566" s="114"/>
      <c r="AA566" s="114"/>
      <c r="AB566" s="114"/>
      <c r="AC566" s="114"/>
      <c r="AD566"/>
      <c r="AE566" s="180"/>
    </row>
    <row r="567" spans="1:32" s="1" customFormat="1" ht="57.6" customHeight="1">
      <c r="A567" s="852"/>
      <c r="B567" s="713" t="s">
        <v>48</v>
      </c>
      <c r="C567" s="720" t="s">
        <v>1886</v>
      </c>
      <c r="D567" s="466" t="s">
        <v>60</v>
      </c>
      <c r="E567" s="466"/>
      <c r="F567" s="466"/>
      <c r="G567" s="466"/>
      <c r="H567" s="466" t="s">
        <v>127</v>
      </c>
      <c r="I567" s="474" t="s">
        <v>34</v>
      </c>
      <c r="J567" s="1024" t="s">
        <v>1887</v>
      </c>
      <c r="K567" s="467"/>
      <c r="L567" s="485">
        <v>43689</v>
      </c>
      <c r="M567" s="485"/>
      <c r="N567" s="485"/>
      <c r="O567" s="485">
        <v>43717</v>
      </c>
      <c r="P567" s="471">
        <v>1</v>
      </c>
      <c r="Q567" s="471">
        <v>1</v>
      </c>
      <c r="R567" s="542">
        <v>5000</v>
      </c>
      <c r="S567" s="478" t="s">
        <v>163</v>
      </c>
      <c r="T567" s="803" t="s">
        <v>54</v>
      </c>
      <c r="U567" s="470"/>
      <c r="V567" s="470"/>
      <c r="W567" s="474" t="s">
        <v>1888</v>
      </c>
      <c r="X567" s="114"/>
      <c r="Y567" s="114"/>
      <c r="Z567" s="114"/>
      <c r="AA567"/>
      <c r="AB567"/>
      <c r="AC567"/>
      <c r="AD567"/>
      <c r="AE567" s="180"/>
    </row>
    <row r="568" spans="1:32" s="1" customFormat="1" ht="43.35" customHeight="1">
      <c r="A568" s="888"/>
      <c r="B568" s="141" t="s">
        <v>28</v>
      </c>
      <c r="C568" s="67"/>
      <c r="D568" s="9" t="s">
        <v>29</v>
      </c>
      <c r="E568" s="9"/>
      <c r="F568" s="9"/>
      <c r="G568" s="9"/>
      <c r="H568" s="5" t="s">
        <v>70</v>
      </c>
      <c r="I568" s="5" t="s">
        <v>53</v>
      </c>
      <c r="J568" s="16" t="s">
        <v>3322</v>
      </c>
      <c r="K568" s="8"/>
      <c r="L568" s="8"/>
      <c r="M568" s="176">
        <v>43678</v>
      </c>
      <c r="N568" s="176"/>
      <c r="O568" s="176">
        <v>43718</v>
      </c>
      <c r="P568" s="12">
        <v>12</v>
      </c>
      <c r="Q568" s="7" t="s">
        <v>108</v>
      </c>
      <c r="R568" s="18" t="s">
        <v>35</v>
      </c>
      <c r="S568" s="5" t="s">
        <v>53</v>
      </c>
      <c r="T568" s="26" t="s">
        <v>54</v>
      </c>
      <c r="U568" s="4"/>
      <c r="V568" s="4"/>
      <c r="W568" s="5" t="s">
        <v>3323</v>
      </c>
      <c r="X568" s="5" t="s">
        <v>1088</v>
      </c>
      <c r="Y568" s="5" t="s">
        <v>457</v>
      </c>
      <c r="Z568" s="5"/>
      <c r="AA568" s="74"/>
      <c r="AB568" s="316"/>
      <c r="AC568" s="95" t="s">
        <v>3324</v>
      </c>
      <c r="AD568" s="34"/>
      <c r="AE568" s="215"/>
    </row>
    <row r="569" spans="1:32" s="1" customFormat="1" ht="43.35" customHeight="1">
      <c r="A569" s="888"/>
      <c r="B569" s="141" t="s">
        <v>28</v>
      </c>
      <c r="C569" s="1449" t="s">
        <v>3325</v>
      </c>
      <c r="D569" s="1403" t="s">
        <v>29</v>
      </c>
      <c r="E569" s="1403"/>
      <c r="F569" s="1403"/>
      <c r="G569" s="1403"/>
      <c r="H569" s="1375" t="s">
        <v>364</v>
      </c>
      <c r="I569" s="1403" t="s">
        <v>34</v>
      </c>
      <c r="J569" s="1401" t="s">
        <v>3326</v>
      </c>
      <c r="K569" s="1401"/>
      <c r="L569" s="1401"/>
      <c r="M569" s="1429">
        <v>43709</v>
      </c>
      <c r="N569" s="1429"/>
      <c r="O569" s="1429">
        <v>43720</v>
      </c>
      <c r="P569" s="1403">
        <v>24</v>
      </c>
      <c r="Q569" s="1375">
        <v>24</v>
      </c>
      <c r="R569" s="18">
        <v>16000</v>
      </c>
      <c r="S569" s="1403" t="s">
        <v>909</v>
      </c>
      <c r="T569" s="1439" t="s">
        <v>54</v>
      </c>
      <c r="U569" s="10"/>
      <c r="V569" s="10"/>
      <c r="W569" s="125" t="s">
        <v>3318</v>
      </c>
      <c r="X569" s="1375" t="s">
        <v>1053</v>
      </c>
      <c r="Y569" s="1375" t="s">
        <v>457</v>
      </c>
      <c r="Z569" s="1375"/>
      <c r="AA569" s="1400"/>
      <c r="AB569" s="193">
        <v>43780</v>
      </c>
      <c r="AC569" s="1365" t="s">
        <v>1246</v>
      </c>
      <c r="AD569" s="34"/>
      <c r="AE569" s="1445"/>
    </row>
    <row r="570" spans="1:32" s="1" customFormat="1" ht="150" customHeight="1">
      <c r="A570" s="852"/>
      <c r="B570" s="713" t="s">
        <v>48</v>
      </c>
      <c r="C570" s="720" t="s">
        <v>1854</v>
      </c>
      <c r="D570" s="466" t="s">
        <v>60</v>
      </c>
      <c r="E570" s="466"/>
      <c r="F570" s="466"/>
      <c r="G570" s="466"/>
      <c r="H570" s="466" t="s">
        <v>49</v>
      </c>
      <c r="I570" s="474" t="s">
        <v>34</v>
      </c>
      <c r="J570" s="1024" t="s">
        <v>1855</v>
      </c>
      <c r="K570" s="467"/>
      <c r="L570" s="485">
        <v>43669</v>
      </c>
      <c r="M570" s="485"/>
      <c r="N570" s="485"/>
      <c r="O570" s="485">
        <v>43724</v>
      </c>
      <c r="P570" s="485" t="s">
        <v>1856</v>
      </c>
      <c r="Q570" s="485" t="s">
        <v>1856</v>
      </c>
      <c r="R570" s="542">
        <v>4000</v>
      </c>
      <c r="S570" s="478" t="s">
        <v>163</v>
      </c>
      <c r="T570" s="803" t="s">
        <v>54</v>
      </c>
      <c r="U570" s="470"/>
      <c r="V570" s="470"/>
      <c r="W570" s="474" t="s">
        <v>1857</v>
      </c>
      <c r="X570" s="114"/>
      <c r="Y570" s="114"/>
      <c r="Z570" s="114"/>
      <c r="AA570"/>
      <c r="AB570"/>
      <c r="AC570"/>
      <c r="AD570"/>
      <c r="AE570" s="180"/>
      <c r="AF570" s="1360"/>
    </row>
    <row r="571" spans="1:32" s="1" customFormat="1" ht="52.8">
      <c r="A571" s="852"/>
      <c r="B571" s="713" t="s">
        <v>48</v>
      </c>
      <c r="C571" s="720" t="s">
        <v>1882</v>
      </c>
      <c r="D571" s="466" t="s">
        <v>60</v>
      </c>
      <c r="E571" s="466"/>
      <c r="F571" s="466"/>
      <c r="G571" s="466"/>
      <c r="H571" s="466" t="s">
        <v>127</v>
      </c>
      <c r="I571" s="466" t="s">
        <v>34</v>
      </c>
      <c r="J571" s="549" t="s">
        <v>1883</v>
      </c>
      <c r="K571" s="484"/>
      <c r="L571" s="564">
        <v>43670</v>
      </c>
      <c r="M571" s="564"/>
      <c r="N571" s="564"/>
      <c r="O571" s="564">
        <v>43724</v>
      </c>
      <c r="P571" s="491">
        <v>1</v>
      </c>
      <c r="Q571" s="491">
        <v>1</v>
      </c>
      <c r="R571" s="550">
        <v>24000</v>
      </c>
      <c r="S571" s="484" t="s">
        <v>1663</v>
      </c>
      <c r="T571" s="803" t="s">
        <v>54</v>
      </c>
      <c r="U571" s="470"/>
      <c r="V571" s="470"/>
      <c r="W571" s="466" t="s">
        <v>1543</v>
      </c>
      <c r="X571" s="114"/>
      <c r="Y571" s="114"/>
      <c r="Z571" s="114"/>
      <c r="AA571" s="114"/>
      <c r="AB571" s="114"/>
      <c r="AC571" s="114"/>
      <c r="AD571"/>
      <c r="AE571" s="180"/>
      <c r="AF571" s="1360"/>
    </row>
    <row r="572" spans="1:32" s="1" customFormat="1" ht="52.8">
      <c r="A572" s="852"/>
      <c r="B572" s="713" t="s">
        <v>48</v>
      </c>
      <c r="C572" s="720" t="s">
        <v>1884</v>
      </c>
      <c r="D572" s="466" t="s">
        <v>60</v>
      </c>
      <c r="E572" s="466"/>
      <c r="F572" s="466"/>
      <c r="G572" s="466"/>
      <c r="H572" s="466" t="s">
        <v>127</v>
      </c>
      <c r="I572" s="474" t="s">
        <v>34</v>
      </c>
      <c r="J572" s="1024" t="s">
        <v>1885</v>
      </c>
      <c r="K572" s="467"/>
      <c r="L572" s="485">
        <v>43712</v>
      </c>
      <c r="M572" s="485"/>
      <c r="N572" s="485"/>
      <c r="O572" s="485">
        <v>43724</v>
      </c>
      <c r="P572" s="474">
        <v>1</v>
      </c>
      <c r="Q572" s="474">
        <v>1</v>
      </c>
      <c r="R572" s="542">
        <v>10000</v>
      </c>
      <c r="S572" s="478" t="s">
        <v>163</v>
      </c>
      <c r="T572" s="803" t="s">
        <v>54</v>
      </c>
      <c r="U572" s="470"/>
      <c r="V572" s="470"/>
      <c r="W572" s="474" t="s">
        <v>1514</v>
      </c>
      <c r="X572" s="114"/>
      <c r="Y572" s="114"/>
      <c r="Z572" s="114"/>
      <c r="AA572" s="114"/>
      <c r="AB572" s="114"/>
      <c r="AC572" s="114"/>
      <c r="AD572"/>
      <c r="AE572" s="180"/>
      <c r="AF572" s="1360"/>
    </row>
    <row r="573" spans="1:32" s="1" customFormat="1" ht="43.35" customHeight="1">
      <c r="A573" s="1364"/>
      <c r="B573" s="141" t="s">
        <v>28</v>
      </c>
      <c r="C573" s="240" t="s">
        <v>3327</v>
      </c>
      <c r="D573" s="5" t="s">
        <v>29</v>
      </c>
      <c r="E573" s="5"/>
      <c r="F573" s="5"/>
      <c r="G573" s="5"/>
      <c r="H573" s="5" t="s">
        <v>171</v>
      </c>
      <c r="I573" s="5" t="s">
        <v>34</v>
      </c>
      <c r="J573" s="64" t="s">
        <v>3328</v>
      </c>
      <c r="K573" s="64"/>
      <c r="L573" s="64"/>
      <c r="M573" s="176">
        <v>43641</v>
      </c>
      <c r="N573" s="176"/>
      <c r="O573" s="176">
        <v>43730</v>
      </c>
      <c r="P573" s="66">
        <v>5</v>
      </c>
      <c r="Q573" s="1330">
        <v>5</v>
      </c>
      <c r="R573" s="18">
        <v>40000</v>
      </c>
      <c r="S573" s="5" t="s">
        <v>163</v>
      </c>
      <c r="T573" s="1332" t="s">
        <v>54</v>
      </c>
      <c r="U573" s="4"/>
      <c r="V573" s="4"/>
      <c r="W573" s="1335" t="s">
        <v>1111</v>
      </c>
      <c r="X573" s="5" t="s">
        <v>2919</v>
      </c>
      <c r="Y573" s="1330" t="s">
        <v>457</v>
      </c>
      <c r="Z573" s="1330"/>
      <c r="AA573" s="1330"/>
      <c r="AB573" s="1386">
        <v>43790</v>
      </c>
      <c r="AC573" s="1354" t="s">
        <v>3329</v>
      </c>
      <c r="AD573" s="34"/>
      <c r="AE573" s="1352"/>
      <c r="AF573" s="1360"/>
    </row>
    <row r="574" spans="1:32" s="1" customFormat="1" ht="29.1" customHeight="1">
      <c r="A574" s="852"/>
      <c r="B574" s="713" t="s">
        <v>48</v>
      </c>
      <c r="C574" s="720" t="s">
        <v>1940</v>
      </c>
      <c r="D574" s="466" t="s">
        <v>60</v>
      </c>
      <c r="E574" s="466"/>
      <c r="F574" s="466"/>
      <c r="G574" s="466"/>
      <c r="H574" s="466" t="s">
        <v>127</v>
      </c>
      <c r="I574" s="474" t="s">
        <v>34</v>
      </c>
      <c r="J574" s="1024" t="s">
        <v>1941</v>
      </c>
      <c r="K574" s="467"/>
      <c r="L574" s="485">
        <v>43700</v>
      </c>
      <c r="M574" s="485"/>
      <c r="N574" s="485"/>
      <c r="O574" s="485">
        <v>43731</v>
      </c>
      <c r="P574" s="485" t="s">
        <v>1942</v>
      </c>
      <c r="Q574" s="485" t="s">
        <v>125</v>
      </c>
      <c r="R574" s="542">
        <v>50000</v>
      </c>
      <c r="S574" s="478" t="s">
        <v>1663</v>
      </c>
      <c r="T574" s="803" t="s">
        <v>36</v>
      </c>
      <c r="U574" s="470"/>
      <c r="V574" s="470"/>
      <c r="W574" s="488" t="s">
        <v>1133</v>
      </c>
      <c r="X574" s="114"/>
      <c r="Y574" s="114"/>
      <c r="Z574" s="114"/>
      <c r="AA574" s="114"/>
      <c r="AB574" s="114"/>
      <c r="AC574" s="114"/>
      <c r="AD574"/>
      <c r="AE574" s="180"/>
      <c r="AF574" s="1360"/>
    </row>
    <row r="575" spans="1:32" s="1" customFormat="1" ht="52.8">
      <c r="A575" s="852"/>
      <c r="B575" s="713" t="s">
        <v>48</v>
      </c>
      <c r="C575" s="720" t="s">
        <v>125</v>
      </c>
      <c r="D575" s="466" t="s">
        <v>60</v>
      </c>
      <c r="E575" s="466"/>
      <c r="F575" s="466"/>
      <c r="G575" s="466"/>
      <c r="H575" s="466" t="s">
        <v>127</v>
      </c>
      <c r="I575" s="474" t="s">
        <v>34</v>
      </c>
      <c r="J575" s="1024" t="s">
        <v>2007</v>
      </c>
      <c r="K575" s="467"/>
      <c r="L575" s="485">
        <v>43647</v>
      </c>
      <c r="M575" s="485"/>
      <c r="N575" s="485"/>
      <c r="O575" s="485">
        <v>43738</v>
      </c>
      <c r="P575" s="471">
        <v>1</v>
      </c>
      <c r="Q575" s="471">
        <v>1</v>
      </c>
      <c r="R575" s="542">
        <v>306000</v>
      </c>
      <c r="S575" s="478" t="s">
        <v>1663</v>
      </c>
      <c r="T575" s="803" t="s">
        <v>36</v>
      </c>
      <c r="U575" s="470" t="s">
        <v>125</v>
      </c>
      <c r="V575" s="470"/>
      <c r="W575" s="474" t="s">
        <v>2008</v>
      </c>
      <c r="X575" s="114"/>
      <c r="Y575" s="114"/>
      <c r="Z575" s="114"/>
      <c r="AA575" s="114"/>
      <c r="AB575" s="114"/>
      <c r="AC575" s="114"/>
      <c r="AD575"/>
      <c r="AE575" s="180"/>
    </row>
    <row r="576" spans="1:32" s="1" customFormat="1" ht="52.8">
      <c r="A576" s="852"/>
      <c r="B576" s="713" t="s">
        <v>48</v>
      </c>
      <c r="C576" s="720" t="s">
        <v>125</v>
      </c>
      <c r="D576" s="466" t="s">
        <v>60</v>
      </c>
      <c r="E576" s="466"/>
      <c r="F576" s="466"/>
      <c r="G576" s="466"/>
      <c r="H576" s="466" t="s">
        <v>127</v>
      </c>
      <c r="I576" s="474" t="s">
        <v>34</v>
      </c>
      <c r="J576" s="1024" t="s">
        <v>2018</v>
      </c>
      <c r="K576" s="467"/>
      <c r="L576" s="485">
        <v>43678</v>
      </c>
      <c r="M576" s="485"/>
      <c r="N576" s="485"/>
      <c r="O576" s="485">
        <v>43738</v>
      </c>
      <c r="P576" s="471" t="s">
        <v>125</v>
      </c>
      <c r="Q576" s="471" t="s">
        <v>125</v>
      </c>
      <c r="R576" s="542">
        <v>498384</v>
      </c>
      <c r="S576" s="478" t="s">
        <v>1663</v>
      </c>
      <c r="T576" s="803" t="s">
        <v>36</v>
      </c>
      <c r="U576" s="470" t="s">
        <v>125</v>
      </c>
      <c r="V576" s="470"/>
      <c r="W576" s="474" t="s">
        <v>1684</v>
      </c>
      <c r="X576" s="114"/>
      <c r="Y576" s="114"/>
      <c r="Z576" s="114"/>
      <c r="AA576" s="114"/>
      <c r="AB576" s="114"/>
      <c r="AC576" s="114"/>
      <c r="AD576"/>
      <c r="AE576" s="180"/>
      <c r="AF576" s="1360"/>
    </row>
    <row r="577" spans="1:51" s="1" customFormat="1" ht="28.8">
      <c r="A577" s="894"/>
      <c r="B577" s="420" t="s">
        <v>145</v>
      </c>
      <c r="C577" s="425"/>
      <c r="D577" s="8" t="s">
        <v>92</v>
      </c>
      <c r="E577" s="8"/>
      <c r="F577" s="8"/>
      <c r="G577" s="8"/>
      <c r="H577" s="8" t="s">
        <v>148</v>
      </c>
      <c r="I577" s="8" t="s">
        <v>34</v>
      </c>
      <c r="J577" s="16" t="s">
        <v>766</v>
      </c>
      <c r="K577" s="8"/>
      <c r="L577" s="8"/>
      <c r="M577" s="328">
        <v>42826</v>
      </c>
      <c r="N577" s="8"/>
      <c r="O577" s="328">
        <v>43739</v>
      </c>
      <c r="P577" s="329"/>
      <c r="Q577" s="329">
        <v>12</v>
      </c>
      <c r="R577" s="153">
        <v>640000</v>
      </c>
      <c r="S577" s="5" t="s">
        <v>109</v>
      </c>
      <c r="T577" s="350" t="s">
        <v>41</v>
      </c>
      <c r="U577" s="348">
        <v>43563</v>
      </c>
      <c r="V577" s="348"/>
      <c r="W577" s="8" t="s">
        <v>556</v>
      </c>
      <c r="X577" s="8" t="s">
        <v>254</v>
      </c>
      <c r="Y577" s="8" t="s">
        <v>179</v>
      </c>
      <c r="Z577" s="8"/>
      <c r="AA577" s="325"/>
      <c r="AB577" s="325" t="s">
        <v>41</v>
      </c>
      <c r="AC577" s="171">
        <v>44060</v>
      </c>
      <c r="AD577" s="390"/>
      <c r="AE577" s="443"/>
    </row>
    <row r="578" spans="1:51" s="1" customFormat="1" ht="43.35" customHeight="1">
      <c r="A578" s="888"/>
      <c r="B578" s="420" t="s">
        <v>145</v>
      </c>
      <c r="C578" s="424" t="s">
        <v>3330</v>
      </c>
      <c r="D578" s="360" t="s">
        <v>29</v>
      </c>
      <c r="E578" s="360"/>
      <c r="F578" s="360"/>
      <c r="G578" s="360"/>
      <c r="H578" s="360" t="s">
        <v>148</v>
      </c>
      <c r="I578" s="360" t="s">
        <v>34</v>
      </c>
      <c r="J578" s="1029" t="s">
        <v>3331</v>
      </c>
      <c r="K578" s="360"/>
      <c r="L578" s="360"/>
      <c r="M578" s="335">
        <v>43313</v>
      </c>
      <c r="N578" s="360"/>
      <c r="O578" s="335">
        <v>43739</v>
      </c>
      <c r="P578" s="361">
        <v>60</v>
      </c>
      <c r="Q578" s="361" t="s">
        <v>162</v>
      </c>
      <c r="R578" s="362">
        <v>400000</v>
      </c>
      <c r="S578" s="362" t="s">
        <v>163</v>
      </c>
      <c r="T578" s="434" t="s">
        <v>41</v>
      </c>
      <c r="U578" s="363" t="s">
        <v>35</v>
      </c>
      <c r="V578" s="363"/>
      <c r="W578" s="360" t="s">
        <v>680</v>
      </c>
      <c r="X578" s="360" t="s">
        <v>254</v>
      </c>
      <c r="Y578" s="360" t="s">
        <v>59</v>
      </c>
      <c r="Z578" s="360"/>
      <c r="AA578" s="364" t="s">
        <v>41</v>
      </c>
      <c r="AB578" s="365">
        <v>43893</v>
      </c>
      <c r="AC578" s="366" t="s">
        <v>3332</v>
      </c>
      <c r="AD578" s="367"/>
      <c r="AE578" s="455"/>
    </row>
    <row r="579" spans="1:51" s="1" customFormat="1" ht="43.35" customHeight="1">
      <c r="A579" s="888"/>
      <c r="B579" s="141" t="s">
        <v>28</v>
      </c>
      <c r="C579" s="67" t="s">
        <v>3333</v>
      </c>
      <c r="D579" s="5" t="s">
        <v>29</v>
      </c>
      <c r="E579" s="5"/>
      <c r="F579" s="5"/>
      <c r="G579" s="5"/>
      <c r="H579" s="5" t="s">
        <v>1292</v>
      </c>
      <c r="I579" s="5" t="s">
        <v>64</v>
      </c>
      <c r="J579" s="16" t="s">
        <v>3334</v>
      </c>
      <c r="K579" s="8"/>
      <c r="L579" s="8"/>
      <c r="M579" s="193">
        <f>EDATE(O579,-12)</f>
        <v>43374</v>
      </c>
      <c r="N579" s="193"/>
      <c r="O579" s="14">
        <v>43739</v>
      </c>
      <c r="P579" s="5">
        <v>60</v>
      </c>
      <c r="Q579" s="7" t="s">
        <v>1095</v>
      </c>
      <c r="R579" s="18">
        <v>10000000</v>
      </c>
      <c r="S579" s="5" t="s">
        <v>66</v>
      </c>
      <c r="T579" s="157" t="s">
        <v>54</v>
      </c>
      <c r="U579" s="4"/>
      <c r="V579" s="4"/>
      <c r="W579" s="5" t="s">
        <v>381</v>
      </c>
      <c r="X579" s="5" t="s">
        <v>2919</v>
      </c>
      <c r="Y579" s="5" t="s">
        <v>179</v>
      </c>
      <c r="Z579" s="5"/>
      <c r="AA579" s="5"/>
      <c r="AB579" s="1386">
        <v>43790</v>
      </c>
      <c r="AC579" s="8" t="s">
        <v>3335</v>
      </c>
      <c r="AE579" s="158"/>
    </row>
    <row r="580" spans="1:51" s="1" customFormat="1" ht="57.6">
      <c r="A580" s="888"/>
      <c r="B580" s="141" t="s">
        <v>28</v>
      </c>
      <c r="C580" s="1440" t="s">
        <v>3336</v>
      </c>
      <c r="D580" s="8" t="s">
        <v>29</v>
      </c>
      <c r="E580" s="8"/>
      <c r="F580" s="8"/>
      <c r="G580" s="8"/>
      <c r="H580" s="5" t="s">
        <v>2695</v>
      </c>
      <c r="I580" s="5" t="s">
        <v>34</v>
      </c>
      <c r="J580" s="16" t="s">
        <v>3337</v>
      </c>
      <c r="K580" s="16"/>
      <c r="L580" s="16"/>
      <c r="M580" s="14">
        <v>43435</v>
      </c>
      <c r="N580" s="14"/>
      <c r="O580" s="176">
        <v>43739</v>
      </c>
      <c r="P580" s="12">
        <v>12</v>
      </c>
      <c r="Q580" s="27">
        <v>12</v>
      </c>
      <c r="R580" s="18">
        <v>40000</v>
      </c>
      <c r="S580" s="30" t="s">
        <v>163</v>
      </c>
      <c r="T580" s="27" t="s">
        <v>54</v>
      </c>
      <c r="U580" s="4"/>
      <c r="V580" s="4"/>
      <c r="W580" s="5" t="s">
        <v>2973</v>
      </c>
      <c r="X580" s="1335" t="s">
        <v>1053</v>
      </c>
      <c r="Y580" s="5" t="s">
        <v>457</v>
      </c>
      <c r="Z580" s="5"/>
      <c r="AA580" s="5"/>
      <c r="AB580" s="193">
        <v>43481</v>
      </c>
      <c r="AC580" s="111" t="s">
        <v>3338</v>
      </c>
      <c r="AE580" s="215" t="s">
        <v>2975</v>
      </c>
    </row>
    <row r="581" spans="1:51" s="1" customFormat="1" ht="43.2">
      <c r="A581" s="888"/>
      <c r="B581" s="141" t="s">
        <v>28</v>
      </c>
      <c r="C581" s="67" t="s">
        <v>3339</v>
      </c>
      <c r="D581" s="8" t="s">
        <v>29</v>
      </c>
      <c r="E581" s="8"/>
      <c r="F581" s="8"/>
      <c r="G581" s="8"/>
      <c r="H581" s="5" t="s">
        <v>2695</v>
      </c>
      <c r="I581" s="5" t="s">
        <v>34</v>
      </c>
      <c r="J581" s="16" t="s">
        <v>1219</v>
      </c>
      <c r="K581" s="16"/>
      <c r="L581" s="16"/>
      <c r="M581" s="176">
        <v>43466</v>
      </c>
      <c r="N581" s="176"/>
      <c r="O581" s="176">
        <v>43739</v>
      </c>
      <c r="P581" s="12">
        <v>12</v>
      </c>
      <c r="Q581" s="28" t="s">
        <v>108</v>
      </c>
      <c r="R581" s="18">
        <v>1600</v>
      </c>
      <c r="S581" s="30" t="s">
        <v>66</v>
      </c>
      <c r="T581" s="27" t="s">
        <v>54</v>
      </c>
      <c r="U581" s="4"/>
      <c r="V581" s="4"/>
      <c r="W581" s="5" t="s">
        <v>1220</v>
      </c>
      <c r="X581" s="5" t="s">
        <v>94</v>
      </c>
      <c r="Y581" s="5" t="s">
        <v>457</v>
      </c>
      <c r="Z581" s="5"/>
      <c r="AA581" s="5"/>
      <c r="AB581" s="193">
        <v>43474</v>
      </c>
      <c r="AC581" s="8" t="s">
        <v>3340</v>
      </c>
      <c r="AE581" s="215"/>
    </row>
    <row r="582" spans="1:51" s="1" customFormat="1" ht="43.2">
      <c r="A582" s="888"/>
      <c r="B582" s="141" t="s">
        <v>28</v>
      </c>
      <c r="C582" s="67" t="s">
        <v>3341</v>
      </c>
      <c r="D582" s="1347" t="s">
        <v>29</v>
      </c>
      <c r="E582" s="1347"/>
      <c r="F582" s="1347"/>
      <c r="G582" s="1347"/>
      <c r="H582" s="1409" t="s">
        <v>70</v>
      </c>
      <c r="I582" s="1380" t="s">
        <v>64</v>
      </c>
      <c r="J582" s="1382" t="s">
        <v>1137</v>
      </c>
      <c r="K582" s="1382"/>
      <c r="L582" s="1382"/>
      <c r="M582" s="1329">
        <v>43586</v>
      </c>
      <c r="N582" s="1329"/>
      <c r="O582" s="140">
        <v>43739</v>
      </c>
      <c r="P582" s="1330">
        <v>60</v>
      </c>
      <c r="Q582" s="1332" t="s">
        <v>3342</v>
      </c>
      <c r="R582" s="18">
        <v>7500</v>
      </c>
      <c r="S582" s="30" t="s">
        <v>66</v>
      </c>
      <c r="T582" s="1352" t="s">
        <v>54</v>
      </c>
      <c r="U582" s="4"/>
      <c r="V582" s="4"/>
      <c r="W582" s="1330" t="s">
        <v>2987</v>
      </c>
      <c r="X582" s="43" t="s">
        <v>94</v>
      </c>
      <c r="Y582" s="5" t="s">
        <v>457</v>
      </c>
      <c r="Z582" s="5"/>
      <c r="AA582" s="1347"/>
      <c r="AB582" s="193">
        <v>43606</v>
      </c>
      <c r="AC582" s="35" t="s">
        <v>3343</v>
      </c>
      <c r="AE582" s="1442"/>
    </row>
    <row r="583" spans="1:51" s="1" customFormat="1" ht="115.35" customHeight="1">
      <c r="A583" s="895"/>
      <c r="B583" s="141" t="s">
        <v>28</v>
      </c>
      <c r="C583" s="67" t="s">
        <v>1310</v>
      </c>
      <c r="D583" s="5" t="s">
        <v>29</v>
      </c>
      <c r="E583" s="5"/>
      <c r="F583" s="5"/>
      <c r="G583" s="5"/>
      <c r="H583" s="1335" t="s">
        <v>70</v>
      </c>
      <c r="I583" s="1335" t="s">
        <v>34</v>
      </c>
      <c r="J583" s="1339" t="s">
        <v>1093</v>
      </c>
      <c r="K583" s="1339"/>
      <c r="L583" s="1339"/>
      <c r="M583" s="193">
        <v>43662</v>
      </c>
      <c r="N583" s="193"/>
      <c r="O583" s="176">
        <v>43739</v>
      </c>
      <c r="P583" s="1335">
        <v>24</v>
      </c>
      <c r="Q583" s="1332" t="s">
        <v>366</v>
      </c>
      <c r="R583" s="18">
        <v>4500</v>
      </c>
      <c r="S583" s="1338" t="s">
        <v>109</v>
      </c>
      <c r="T583" s="1332" t="s">
        <v>54</v>
      </c>
      <c r="U583" s="4"/>
      <c r="V583" s="4"/>
      <c r="W583" s="1335" t="s">
        <v>1022</v>
      </c>
      <c r="X583" s="5" t="s">
        <v>1053</v>
      </c>
      <c r="Y583" s="5" t="s">
        <v>457</v>
      </c>
      <c r="Z583" s="5"/>
      <c r="AA583" s="1339"/>
      <c r="AB583" s="1337">
        <v>43801</v>
      </c>
      <c r="AC583" s="1327" t="s">
        <v>1246</v>
      </c>
      <c r="AE583" s="1450"/>
    </row>
    <row r="584" spans="1:51" s="1" customFormat="1" ht="43.2">
      <c r="A584" s="888"/>
      <c r="B584" s="141" t="s">
        <v>28</v>
      </c>
      <c r="C584" s="67" t="s">
        <v>1310</v>
      </c>
      <c r="D584" s="5" t="s">
        <v>29</v>
      </c>
      <c r="E584" s="5"/>
      <c r="F584" s="5"/>
      <c r="G584" s="5"/>
      <c r="H584" s="1335" t="s">
        <v>70</v>
      </c>
      <c r="I584" s="1335" t="s">
        <v>34</v>
      </c>
      <c r="J584" s="1339" t="s">
        <v>1311</v>
      </c>
      <c r="K584" s="1339"/>
      <c r="L584" s="1339"/>
      <c r="M584" s="193">
        <v>43662</v>
      </c>
      <c r="N584" s="193"/>
      <c r="O584" s="176">
        <v>43739</v>
      </c>
      <c r="P584" s="1335">
        <v>24</v>
      </c>
      <c r="Q584" s="1332" t="s">
        <v>366</v>
      </c>
      <c r="R584" s="18">
        <v>13000</v>
      </c>
      <c r="S584" s="1338" t="s">
        <v>109</v>
      </c>
      <c r="T584" s="1332" t="s">
        <v>54</v>
      </c>
      <c r="U584" s="4"/>
      <c r="V584" s="4"/>
      <c r="W584" s="1335" t="s">
        <v>1022</v>
      </c>
      <c r="X584" s="5" t="s">
        <v>1053</v>
      </c>
      <c r="Y584" s="5" t="s">
        <v>457</v>
      </c>
      <c r="Z584" s="5"/>
      <c r="AA584" s="1339"/>
      <c r="AB584" s="1337">
        <v>43801</v>
      </c>
      <c r="AC584" s="1327" t="s">
        <v>1246</v>
      </c>
      <c r="AE584" s="1450"/>
    </row>
    <row r="585" spans="1:51" s="1" customFormat="1" ht="115.2">
      <c r="A585" s="888"/>
      <c r="B585" s="141" t="s">
        <v>28</v>
      </c>
      <c r="C585" s="67" t="s">
        <v>3344</v>
      </c>
      <c r="D585" s="9" t="s">
        <v>60</v>
      </c>
      <c r="E585" s="9"/>
      <c r="F585" s="9"/>
      <c r="G585" s="9"/>
      <c r="H585" s="9" t="s">
        <v>336</v>
      </c>
      <c r="I585" s="9" t="s">
        <v>64</v>
      </c>
      <c r="J585" s="60" t="s">
        <v>3345</v>
      </c>
      <c r="K585" s="6"/>
      <c r="L585" s="6"/>
      <c r="M585" s="177">
        <v>43691</v>
      </c>
      <c r="N585" s="177"/>
      <c r="O585" s="177">
        <v>43739</v>
      </c>
      <c r="P585" s="9">
        <v>60</v>
      </c>
      <c r="Q585" s="179" t="s">
        <v>3346</v>
      </c>
      <c r="R585" s="58">
        <v>126000</v>
      </c>
      <c r="S585" s="31" t="s">
        <v>66</v>
      </c>
      <c r="T585" s="160" t="s">
        <v>54</v>
      </c>
      <c r="U585" s="4"/>
      <c r="V585" s="4"/>
      <c r="W585" s="9" t="s">
        <v>174</v>
      </c>
      <c r="X585" s="9" t="s">
        <v>1088</v>
      </c>
      <c r="Y585" s="9" t="s">
        <v>457</v>
      </c>
      <c r="Z585" s="9"/>
      <c r="AA585" s="9"/>
      <c r="AB585" s="1451">
        <v>44099</v>
      </c>
      <c r="AC585" s="6" t="s">
        <v>3347</v>
      </c>
      <c r="AD585"/>
      <c r="AE585" s="222"/>
    </row>
    <row r="586" spans="1:51" s="1" customFormat="1" ht="57.6">
      <c r="A586" s="888"/>
      <c r="B586" s="141" t="s">
        <v>28</v>
      </c>
      <c r="C586" s="67" t="s">
        <v>3348</v>
      </c>
      <c r="D586" s="1403" t="s">
        <v>29</v>
      </c>
      <c r="E586" s="1403"/>
      <c r="F586" s="1403"/>
      <c r="G586" s="1403"/>
      <c r="H586" s="1375" t="s">
        <v>364</v>
      </c>
      <c r="I586" s="1403" t="s">
        <v>34</v>
      </c>
      <c r="J586" s="1401" t="s">
        <v>3349</v>
      </c>
      <c r="K586" s="1401"/>
      <c r="L586" s="1401"/>
      <c r="M586" s="1402">
        <v>43709</v>
      </c>
      <c r="N586" s="1402"/>
      <c r="O586" s="1402">
        <v>43739</v>
      </c>
      <c r="P586" s="1400">
        <v>42</v>
      </c>
      <c r="Q586" s="1452">
        <v>42</v>
      </c>
      <c r="R586" s="18">
        <v>7000</v>
      </c>
      <c r="S586" s="1453" t="s">
        <v>909</v>
      </c>
      <c r="T586" s="1436" t="s">
        <v>54</v>
      </c>
      <c r="U586" s="4"/>
      <c r="V586" s="4"/>
      <c r="W586" s="125" t="s">
        <v>3318</v>
      </c>
      <c r="X586" s="1375" t="s">
        <v>94</v>
      </c>
      <c r="Y586" s="1375" t="s">
        <v>457</v>
      </c>
      <c r="Z586" s="1375"/>
      <c r="AA586" s="1400"/>
      <c r="AB586" s="1386">
        <v>43720</v>
      </c>
      <c r="AC586" s="1407" t="s">
        <v>3350</v>
      </c>
      <c r="AD586" s="34"/>
      <c r="AE586" s="1445"/>
    </row>
    <row r="587" spans="1:51" s="1" customFormat="1" ht="57.6">
      <c r="A587" s="888"/>
      <c r="B587" s="141" t="s">
        <v>28</v>
      </c>
      <c r="C587" s="67" t="s">
        <v>1289</v>
      </c>
      <c r="D587" s="1400" t="s">
        <v>29</v>
      </c>
      <c r="E587" s="1400"/>
      <c r="F587" s="1400"/>
      <c r="G587" s="1400"/>
      <c r="H587" s="1399" t="s">
        <v>364</v>
      </c>
      <c r="I587" s="1400" t="s">
        <v>34</v>
      </c>
      <c r="J587" s="1401" t="s">
        <v>3351</v>
      </c>
      <c r="K587" s="1401"/>
      <c r="L587" s="1401"/>
      <c r="M587" s="1402">
        <v>43721</v>
      </c>
      <c r="N587" s="1402"/>
      <c r="O587" s="1402">
        <v>43739</v>
      </c>
      <c r="P587" s="1400">
        <v>36</v>
      </c>
      <c r="Q587" s="1452" t="s">
        <v>318</v>
      </c>
      <c r="R587" s="18">
        <v>24000</v>
      </c>
      <c r="S587" s="1453" t="s">
        <v>909</v>
      </c>
      <c r="T587" s="1436" t="s">
        <v>54</v>
      </c>
      <c r="U587" s="114"/>
      <c r="V587" s="114"/>
      <c r="W587" s="125" t="s">
        <v>3318</v>
      </c>
      <c r="X587" s="1375" t="s">
        <v>94</v>
      </c>
      <c r="Y587" s="1375" t="s">
        <v>457</v>
      </c>
      <c r="Z587" s="1375"/>
      <c r="AA587" s="1400"/>
      <c r="AB587" s="1386">
        <v>43728</v>
      </c>
      <c r="AC587" s="1407" t="s">
        <v>3350</v>
      </c>
      <c r="AD587" s="34"/>
      <c r="AE587" s="1445"/>
    </row>
    <row r="588" spans="1:51" s="1" customFormat="1" ht="43.35" customHeight="1">
      <c r="A588" s="852"/>
      <c r="B588" s="713" t="s">
        <v>48</v>
      </c>
      <c r="C588" s="720" t="s">
        <v>125</v>
      </c>
      <c r="D588" s="466" t="s">
        <v>60</v>
      </c>
      <c r="E588" s="466"/>
      <c r="F588" s="466"/>
      <c r="G588" s="466"/>
      <c r="H588" s="466" t="s">
        <v>127</v>
      </c>
      <c r="I588" s="474" t="s">
        <v>34</v>
      </c>
      <c r="J588" s="1024" t="s">
        <v>2172</v>
      </c>
      <c r="K588" s="467"/>
      <c r="L588" s="467"/>
      <c r="M588" s="466">
        <v>12</v>
      </c>
      <c r="N588" s="469" t="str">
        <f>IF(O588="tbc","",(IFERROR(EDATE(#REF!,-3),"Invalid procurement method or date entered")))</f>
        <v>Invalid procurement method or date entered</v>
      </c>
      <c r="O588" s="470">
        <v>43739</v>
      </c>
      <c r="P588" s="471" t="s">
        <v>125</v>
      </c>
      <c r="Q588" s="761" t="s">
        <v>125</v>
      </c>
      <c r="R588" s="483" t="s">
        <v>125</v>
      </c>
      <c r="S588" s="792" t="s">
        <v>46</v>
      </c>
      <c r="T588" s="803" t="s">
        <v>144</v>
      </c>
      <c r="U588" s="470" t="s">
        <v>125</v>
      </c>
      <c r="V588" s="470"/>
      <c r="W588" s="474" t="s">
        <v>2171</v>
      </c>
      <c r="X588" s="114"/>
      <c r="Y588" s="114"/>
      <c r="Z588" s="114"/>
      <c r="AA588" s="114"/>
      <c r="AB588" s="114"/>
      <c r="AC588" s="114"/>
      <c r="AD588"/>
      <c r="AE588" s="180"/>
      <c r="AF588" s="3"/>
    </row>
    <row r="589" spans="1:51" s="1" customFormat="1" ht="92.4">
      <c r="A589" s="852"/>
      <c r="B589" s="713" t="s">
        <v>48</v>
      </c>
      <c r="C589" s="720" t="s">
        <v>125</v>
      </c>
      <c r="D589" s="466" t="s">
        <v>60</v>
      </c>
      <c r="E589" s="466"/>
      <c r="F589" s="466"/>
      <c r="G589" s="466"/>
      <c r="H589" s="466" t="s">
        <v>127</v>
      </c>
      <c r="I589" s="474" t="s">
        <v>34</v>
      </c>
      <c r="J589" s="1024" t="s">
        <v>2183</v>
      </c>
      <c r="K589" s="467"/>
      <c r="L589" s="467"/>
      <c r="M589" s="466">
        <v>14</v>
      </c>
      <c r="N589" s="469" t="str">
        <f>IF(O589="tbc","",(IFERROR(EDATE(#REF!,-3),"Invalid procurement method or date entered")))</f>
        <v>Invalid procurement method or date entered</v>
      </c>
      <c r="O589" s="470">
        <v>43739</v>
      </c>
      <c r="P589" s="471" t="s">
        <v>125</v>
      </c>
      <c r="Q589" s="471" t="s">
        <v>125</v>
      </c>
      <c r="R589" s="483" t="s">
        <v>125</v>
      </c>
      <c r="S589" s="470" t="s">
        <v>125</v>
      </c>
      <c r="T589" s="803" t="s">
        <v>144</v>
      </c>
      <c r="U589" s="470" t="s">
        <v>125</v>
      </c>
      <c r="V589" s="470"/>
      <c r="W589" s="474" t="s">
        <v>2184</v>
      </c>
      <c r="X589" s="114"/>
      <c r="Y589" s="114"/>
      <c r="Z589" s="114"/>
      <c r="AA589" s="114"/>
      <c r="AB589" s="114"/>
      <c r="AC589" s="114"/>
      <c r="AD589"/>
      <c r="AE589" s="180"/>
    </row>
    <row r="590" spans="1:51" s="1" customFormat="1" ht="15.6">
      <c r="A590" s="1061">
        <v>44974</v>
      </c>
      <c r="B590" s="1020" t="s">
        <v>210</v>
      </c>
      <c r="C590" s="1075" t="s">
        <v>190</v>
      </c>
      <c r="D590" s="1072" t="s">
        <v>1150</v>
      </c>
      <c r="E590" s="1066" t="s">
        <v>210</v>
      </c>
      <c r="F590" s="1066" t="s">
        <v>190</v>
      </c>
      <c r="G590" s="1066" t="s">
        <v>190</v>
      </c>
      <c r="H590" s="1066" t="s">
        <v>190</v>
      </c>
      <c r="I590" s="1066" t="s">
        <v>190</v>
      </c>
      <c r="J590" s="1095" t="s">
        <v>3352</v>
      </c>
      <c r="K590" s="1072" t="s">
        <v>3353</v>
      </c>
      <c r="L590" s="1066" t="s">
        <v>190</v>
      </c>
      <c r="M590" s="1066" t="s">
        <v>190</v>
      </c>
      <c r="N590" s="1066" t="s">
        <v>190</v>
      </c>
      <c r="O590" s="1142">
        <v>43739</v>
      </c>
      <c r="P590" s="1142">
        <v>45199</v>
      </c>
      <c r="Q590" s="1072" t="s">
        <v>100</v>
      </c>
      <c r="R590" s="1072" t="s">
        <v>3354</v>
      </c>
      <c r="S590" s="1072" t="s">
        <v>237</v>
      </c>
      <c r="T590" s="1204" t="s">
        <v>190</v>
      </c>
      <c r="U590" s="1066" t="s">
        <v>190</v>
      </c>
      <c r="V590" s="1066"/>
      <c r="W590" s="1072" t="s">
        <v>2542</v>
      </c>
      <c r="X590" s="1072" t="s">
        <v>1346</v>
      </c>
      <c r="Y590" s="1072" t="s">
        <v>1266</v>
      </c>
      <c r="Z590" s="1066" t="s">
        <v>190</v>
      </c>
      <c r="AA590" s="1066" t="s">
        <v>190</v>
      </c>
      <c r="AB590" s="1066" t="s">
        <v>190</v>
      </c>
      <c r="AC590" s="1095" t="s">
        <v>3355</v>
      </c>
      <c r="AD590" s="1068" t="s">
        <v>190</v>
      </c>
      <c r="AE590" s="1075" t="s">
        <v>3354</v>
      </c>
      <c r="AF590"/>
    </row>
    <row r="591" spans="1:51" s="282" customFormat="1" ht="52.8">
      <c r="A591" s="852"/>
      <c r="B591" s="713" t="s">
        <v>48</v>
      </c>
      <c r="C591" s="720" t="s">
        <v>1889</v>
      </c>
      <c r="D591" s="466" t="s">
        <v>60</v>
      </c>
      <c r="E591" s="466"/>
      <c r="F591" s="466"/>
      <c r="G591" s="466"/>
      <c r="H591" s="466" t="s">
        <v>127</v>
      </c>
      <c r="I591" s="474" t="s">
        <v>34</v>
      </c>
      <c r="J591" s="1024" t="s">
        <v>1890</v>
      </c>
      <c r="K591" s="467"/>
      <c r="L591" s="485">
        <v>43689</v>
      </c>
      <c r="M591" s="485"/>
      <c r="N591" s="485"/>
      <c r="O591" s="485">
        <v>43752</v>
      </c>
      <c r="P591" s="471">
        <v>1</v>
      </c>
      <c r="Q591" s="471">
        <v>1</v>
      </c>
      <c r="R591" s="542">
        <v>30000</v>
      </c>
      <c r="S591" s="791" t="s">
        <v>1663</v>
      </c>
      <c r="T591" s="803" t="s">
        <v>54</v>
      </c>
      <c r="U591" s="470"/>
      <c r="V591" s="470"/>
      <c r="W591" s="474" t="s">
        <v>1339</v>
      </c>
      <c r="X591" s="114"/>
      <c r="Y591" s="114"/>
      <c r="Z591" s="114"/>
      <c r="AA591" s="114"/>
      <c r="AB591" s="114"/>
      <c r="AC591" s="114"/>
      <c r="AD591"/>
      <c r="AE591" s="180"/>
      <c r="AF591" s="1"/>
      <c r="AG591" s="1360"/>
      <c r="AH591" s="1360"/>
      <c r="AI591" s="1360"/>
      <c r="AJ591" s="1360"/>
      <c r="AK591" s="1360"/>
      <c r="AL591" s="1360"/>
      <c r="AM591" s="1360"/>
      <c r="AN591" s="1360"/>
      <c r="AO591" s="1360"/>
      <c r="AP591" s="1360"/>
      <c r="AQ591" s="1360"/>
      <c r="AR591" s="1360"/>
      <c r="AS591" s="1360"/>
      <c r="AT591" s="1360"/>
      <c r="AU591" s="1360"/>
      <c r="AV591" s="1360"/>
      <c r="AW591" s="1360"/>
      <c r="AX591" s="1360"/>
      <c r="AY591" s="1360"/>
    </row>
    <row r="592" spans="1:51" s="1" customFormat="1" ht="79.2">
      <c r="A592" s="852"/>
      <c r="B592" s="713" t="s">
        <v>48</v>
      </c>
      <c r="C592" s="720" t="s">
        <v>1938</v>
      </c>
      <c r="D592" s="466" t="s">
        <v>60</v>
      </c>
      <c r="E592" s="466"/>
      <c r="F592" s="466"/>
      <c r="G592" s="466"/>
      <c r="H592" s="466" t="s">
        <v>127</v>
      </c>
      <c r="I592" s="474" t="s">
        <v>34</v>
      </c>
      <c r="J592" s="1024" t="s">
        <v>1939</v>
      </c>
      <c r="K592" s="467"/>
      <c r="L592" s="485">
        <v>43677</v>
      </c>
      <c r="M592" s="485"/>
      <c r="N592" s="485"/>
      <c r="O592" s="485">
        <v>43752</v>
      </c>
      <c r="P592" s="471">
        <v>2</v>
      </c>
      <c r="Q592" s="761">
        <v>2</v>
      </c>
      <c r="R592" s="542">
        <f>129698+282877+107868+37380</f>
        <v>557823</v>
      </c>
      <c r="S592" s="791" t="s">
        <v>1663</v>
      </c>
      <c r="T592" s="803" t="s">
        <v>144</v>
      </c>
      <c r="U592" s="470"/>
      <c r="V592" s="470"/>
      <c r="W592" s="488" t="s">
        <v>1133</v>
      </c>
      <c r="X592" s="114"/>
      <c r="Y592" s="114"/>
      <c r="Z592" s="114"/>
      <c r="AA592" s="180"/>
      <c r="AB592" s="180"/>
      <c r="AC592" s="180"/>
      <c r="AD592" s="114"/>
      <c r="AE592" s="180"/>
    </row>
    <row r="593" spans="1:31" s="1" customFormat="1" ht="28.8">
      <c r="A593" s="888"/>
      <c r="B593" s="141" t="s">
        <v>28</v>
      </c>
      <c r="C593" s="67" t="s">
        <v>3356</v>
      </c>
      <c r="D593" s="8" t="s">
        <v>29</v>
      </c>
      <c r="E593" s="8"/>
      <c r="F593" s="8"/>
      <c r="G593" s="8"/>
      <c r="H593" s="5" t="s">
        <v>2695</v>
      </c>
      <c r="I593" s="12" t="s">
        <v>34</v>
      </c>
      <c r="J593" s="16" t="s">
        <v>2736</v>
      </c>
      <c r="K593" s="16"/>
      <c r="L593" s="16"/>
      <c r="M593" s="176">
        <v>43497</v>
      </c>
      <c r="N593" s="176"/>
      <c r="O593" s="176">
        <v>43758</v>
      </c>
      <c r="P593" s="12">
        <v>12</v>
      </c>
      <c r="Q593" s="25" t="s">
        <v>108</v>
      </c>
      <c r="R593" s="18">
        <v>14280</v>
      </c>
      <c r="S593" s="30" t="s">
        <v>66</v>
      </c>
      <c r="T593" s="27" t="s">
        <v>54</v>
      </c>
      <c r="U593" s="4"/>
      <c r="V593" s="4"/>
      <c r="W593" s="12" t="s">
        <v>113</v>
      </c>
      <c r="X593" s="5" t="s">
        <v>150</v>
      </c>
      <c r="Y593" s="5" t="s">
        <v>457</v>
      </c>
      <c r="Z593" s="5"/>
      <c r="AA593" s="17"/>
      <c r="AB593" s="193">
        <v>43388</v>
      </c>
      <c r="AC593" s="8" t="s">
        <v>3357</v>
      </c>
      <c r="AE593" s="27"/>
    </row>
    <row r="594" spans="1:31" s="1" customFormat="1" ht="43.35" customHeight="1">
      <c r="A594" s="888"/>
      <c r="B594" s="141" t="s">
        <v>28</v>
      </c>
      <c r="C594" s="67"/>
      <c r="D594" s="9" t="s">
        <v>29</v>
      </c>
      <c r="E594" s="9"/>
      <c r="F594" s="9"/>
      <c r="G594" s="9"/>
      <c r="H594" s="5" t="s">
        <v>70</v>
      </c>
      <c r="I594" s="5" t="s">
        <v>64</v>
      </c>
      <c r="J594" s="16" t="s">
        <v>2697</v>
      </c>
      <c r="K594" s="16"/>
      <c r="L594" s="16"/>
      <c r="M594" s="176">
        <v>43556</v>
      </c>
      <c r="N594" s="176"/>
      <c r="O594" s="176">
        <v>43758</v>
      </c>
      <c r="P594" s="12">
        <v>120</v>
      </c>
      <c r="Q594" s="25" t="s">
        <v>3358</v>
      </c>
      <c r="R594" s="18">
        <v>184465</v>
      </c>
      <c r="S594" s="30" t="s">
        <v>66</v>
      </c>
      <c r="T594" s="162" t="s">
        <v>36</v>
      </c>
      <c r="U594" s="4"/>
      <c r="V594" s="4"/>
      <c r="W594" s="5" t="s">
        <v>3359</v>
      </c>
      <c r="X594" s="5" t="s">
        <v>1088</v>
      </c>
      <c r="Y594" s="5" t="s">
        <v>457</v>
      </c>
      <c r="Z594" s="5"/>
      <c r="AA594" s="26"/>
      <c r="AB594" s="42">
        <v>43685</v>
      </c>
      <c r="AC594" s="446" t="s">
        <v>3360</v>
      </c>
      <c r="AE594" s="215"/>
    </row>
    <row r="595" spans="1:31" s="1" customFormat="1" ht="216">
      <c r="A595" s="888"/>
      <c r="B595" s="141" t="s">
        <v>28</v>
      </c>
      <c r="C595" s="67" t="s">
        <v>3361</v>
      </c>
      <c r="D595" s="9" t="s">
        <v>60</v>
      </c>
      <c r="E595" s="9"/>
      <c r="F595" s="9"/>
      <c r="G595" s="9"/>
      <c r="H595" s="5" t="s">
        <v>70</v>
      </c>
      <c r="I595" s="12" t="s">
        <v>64</v>
      </c>
      <c r="J595" s="16" t="s">
        <v>3362</v>
      </c>
      <c r="K595" s="8"/>
      <c r="L595" s="8"/>
      <c r="M595" s="176">
        <v>43405</v>
      </c>
      <c r="N595" s="176"/>
      <c r="O595" s="176">
        <v>43765</v>
      </c>
      <c r="P595" s="12">
        <v>84</v>
      </c>
      <c r="Q595" s="28" t="s">
        <v>2797</v>
      </c>
      <c r="R595" s="18">
        <v>231747</v>
      </c>
      <c r="S595" s="1338" t="s">
        <v>66</v>
      </c>
      <c r="T595" s="155" t="s">
        <v>36</v>
      </c>
      <c r="U595" s="5" t="s">
        <v>3104</v>
      </c>
      <c r="V595" s="5"/>
      <c r="W595" s="12" t="s">
        <v>3363</v>
      </c>
      <c r="X595" s="5" t="s">
        <v>1088</v>
      </c>
      <c r="Y595" s="5" t="s">
        <v>457</v>
      </c>
      <c r="Z595" s="5"/>
      <c r="AA595" s="12"/>
      <c r="AB595" s="1386">
        <v>43921</v>
      </c>
      <c r="AC595" s="8" t="s">
        <v>3364</v>
      </c>
      <c r="AD595" s="53"/>
      <c r="AE595" s="215">
        <v>33690</v>
      </c>
    </row>
    <row r="596" spans="1:31" s="1" customFormat="1" ht="72">
      <c r="A596" s="888"/>
      <c r="B596" s="141" t="s">
        <v>28</v>
      </c>
      <c r="C596" s="67" t="s">
        <v>3365</v>
      </c>
      <c r="D596" s="5" t="s">
        <v>29</v>
      </c>
      <c r="E596" s="5"/>
      <c r="F596" s="5"/>
      <c r="G596" s="5"/>
      <c r="H596" s="5" t="s">
        <v>70</v>
      </c>
      <c r="I596" s="5" t="s">
        <v>34</v>
      </c>
      <c r="J596" s="16" t="s">
        <v>3366</v>
      </c>
      <c r="K596" s="16"/>
      <c r="L596" s="16"/>
      <c r="M596" s="176">
        <v>43676</v>
      </c>
      <c r="N596" s="176"/>
      <c r="O596" s="176">
        <v>43766</v>
      </c>
      <c r="P596" s="12">
        <v>10</v>
      </c>
      <c r="Q596" s="27">
        <v>10</v>
      </c>
      <c r="R596" s="18">
        <v>99000</v>
      </c>
      <c r="S596" s="200" t="s">
        <v>109</v>
      </c>
      <c r="T596" s="27" t="s">
        <v>54</v>
      </c>
      <c r="U596" s="4"/>
      <c r="V596" s="4"/>
      <c r="W596" s="5" t="s">
        <v>3367</v>
      </c>
      <c r="X596" s="5" t="s">
        <v>1091</v>
      </c>
      <c r="Y596" s="5" t="s">
        <v>457</v>
      </c>
      <c r="Z596" s="5"/>
      <c r="AA596" s="27"/>
      <c r="AB596" s="42">
        <v>43766</v>
      </c>
      <c r="AC596" s="102" t="s">
        <v>3368</v>
      </c>
      <c r="AD596" s="145"/>
      <c r="AE596" s="215"/>
    </row>
    <row r="597" spans="1:31" s="1" customFormat="1" ht="43.35" customHeight="1">
      <c r="A597" s="852"/>
      <c r="B597" s="713" t="s">
        <v>48</v>
      </c>
      <c r="C597" s="720" t="s">
        <v>1865</v>
      </c>
      <c r="D597" s="466" t="s">
        <v>60</v>
      </c>
      <c r="E597" s="466"/>
      <c r="F597" s="466"/>
      <c r="G597" s="466"/>
      <c r="H597" s="466" t="s">
        <v>49</v>
      </c>
      <c r="I597" s="474" t="s">
        <v>34</v>
      </c>
      <c r="J597" s="1024" t="s">
        <v>1866</v>
      </c>
      <c r="K597" s="467"/>
      <c r="L597" s="485">
        <v>43683</v>
      </c>
      <c r="M597" s="485"/>
      <c r="N597" s="485"/>
      <c r="O597" s="485">
        <v>43766</v>
      </c>
      <c r="P597" s="471">
        <v>1</v>
      </c>
      <c r="Q597" s="471">
        <v>1</v>
      </c>
      <c r="R597" s="542">
        <v>40000</v>
      </c>
      <c r="S597" s="478" t="s">
        <v>1663</v>
      </c>
      <c r="T597" s="803" t="s">
        <v>54</v>
      </c>
      <c r="U597" s="470"/>
      <c r="V597" s="470"/>
      <c r="W597" s="474" t="s">
        <v>1514</v>
      </c>
      <c r="X597" s="114"/>
      <c r="Y597" s="114"/>
      <c r="Z597" s="114"/>
      <c r="AA597" s="114"/>
      <c r="AB597" s="114"/>
      <c r="AC597" s="114"/>
      <c r="AD597"/>
      <c r="AE597" s="180"/>
    </row>
    <row r="598" spans="1:31" s="1" customFormat="1" ht="52.8">
      <c r="A598" s="852"/>
      <c r="B598" s="713" t="s">
        <v>48</v>
      </c>
      <c r="C598" s="720" t="s">
        <v>1902</v>
      </c>
      <c r="D598" s="466" t="s">
        <v>60</v>
      </c>
      <c r="E598" s="466"/>
      <c r="F598" s="466"/>
      <c r="G598" s="466"/>
      <c r="H598" s="466" t="s">
        <v>127</v>
      </c>
      <c r="I598" s="474" t="s">
        <v>34</v>
      </c>
      <c r="J598" s="1024" t="s">
        <v>1903</v>
      </c>
      <c r="K598" s="467"/>
      <c r="L598" s="485">
        <v>43718</v>
      </c>
      <c r="M598" s="485"/>
      <c r="N598" s="485"/>
      <c r="O598" s="485">
        <v>43766</v>
      </c>
      <c r="P598" s="471">
        <v>1</v>
      </c>
      <c r="Q598" s="761">
        <v>1</v>
      </c>
      <c r="R598" s="542">
        <v>40000</v>
      </c>
      <c r="S598" s="791" t="s">
        <v>1663</v>
      </c>
      <c r="T598" s="803"/>
      <c r="U598" s="470"/>
      <c r="V598" s="470"/>
      <c r="W598" s="474" t="s">
        <v>1543</v>
      </c>
      <c r="X598" s="114"/>
      <c r="Y598" s="114"/>
      <c r="Z598" s="114"/>
      <c r="AA598" s="114"/>
      <c r="AB598" s="114"/>
      <c r="AC598" s="114"/>
      <c r="AD598"/>
      <c r="AE598" s="180"/>
    </row>
    <row r="599" spans="1:31" s="1" customFormat="1" ht="29.1" customHeight="1">
      <c r="A599" s="852"/>
      <c r="B599" s="713" t="s">
        <v>48</v>
      </c>
      <c r="C599" s="720" t="s">
        <v>1836</v>
      </c>
      <c r="D599" s="466" t="s">
        <v>60</v>
      </c>
      <c r="E599" s="466"/>
      <c r="F599" s="466"/>
      <c r="G599" s="466"/>
      <c r="H599" s="466" t="s">
        <v>127</v>
      </c>
      <c r="I599" s="465" t="s">
        <v>34</v>
      </c>
      <c r="J599" s="1025" t="s">
        <v>1837</v>
      </c>
      <c r="K599" s="488"/>
      <c r="L599" s="560">
        <v>43666</v>
      </c>
      <c r="M599" s="560"/>
      <c r="N599" s="560"/>
      <c r="O599" s="560">
        <v>43769</v>
      </c>
      <c r="P599" s="490">
        <v>3</v>
      </c>
      <c r="Q599" s="763">
        <v>3</v>
      </c>
      <c r="R599" s="542">
        <v>697592</v>
      </c>
      <c r="S599" s="794" t="s">
        <v>1663</v>
      </c>
      <c r="T599" s="806" t="s">
        <v>54</v>
      </c>
      <c r="U599" s="558"/>
      <c r="V599" s="558"/>
      <c r="W599" s="465" t="s">
        <v>1321</v>
      </c>
      <c r="X599" s="114"/>
      <c r="Y599" s="114"/>
      <c r="Z599" s="114"/>
      <c r="AA599" s="180"/>
      <c r="AB599" s="180"/>
      <c r="AC599" s="180"/>
      <c r="AD599"/>
      <c r="AE599" s="180"/>
    </row>
    <row r="600" spans="1:31" s="1" customFormat="1" ht="14.4" customHeight="1">
      <c r="A600" s="852"/>
      <c r="B600" s="1350" t="s">
        <v>28</v>
      </c>
      <c r="C600" s="67" t="s">
        <v>3289</v>
      </c>
      <c r="D600" s="9" t="s">
        <v>29</v>
      </c>
      <c r="E600" s="9"/>
      <c r="F600" s="9"/>
      <c r="G600" s="9"/>
      <c r="H600" s="5" t="s">
        <v>70</v>
      </c>
      <c r="I600" s="5" t="s">
        <v>34</v>
      </c>
      <c r="J600" s="16" t="s">
        <v>3369</v>
      </c>
      <c r="K600" s="8"/>
      <c r="L600" s="5" t="e">
        <f>IF(OR(S600=#REF!,S600=#REF!,S600=#REF!,S600=#REF!,S600=#REF!,S600=#REF!,S600=#REF!,S600=#REF!),12,IF(OR(S600=#REF!,S600=#REF!,S600=#REF!,S600=#REF!,S600=#REF!,S600=#REF!,S600=#REF!),3,IF(S600=#REF!,1,IF(S600=#REF!,18,IF(OR(S600=#REF!,S600=#REF!,S600=#REF!,S600=#REF!,S600=#REF!),14,"Invalid proposed procurement method")))))</f>
        <v>#REF!</v>
      </c>
      <c r="M600" s="193" t="str">
        <f>IFERROR(EDATE($N600,-3),"Invalid procurement method or date entered")</f>
        <v>Invalid procurement method or date entered</v>
      </c>
      <c r="N600" s="193" t="str">
        <f>IFERROR(EDATE(O600,-L600),"Invalid procurement method or date entered")</f>
        <v>Invalid procurement method or date entered</v>
      </c>
      <c r="O600" s="14">
        <v>43770</v>
      </c>
      <c r="P600" s="12">
        <v>48</v>
      </c>
      <c r="Q600" s="5">
        <v>48</v>
      </c>
      <c r="R600" s="18">
        <v>19074</v>
      </c>
      <c r="S600" s="193" t="s">
        <v>909</v>
      </c>
      <c r="T600" s="157" t="s">
        <v>54</v>
      </c>
      <c r="U600" s="15" t="s">
        <v>37</v>
      </c>
      <c r="V600" s="15"/>
      <c r="W600" s="5" t="s">
        <v>72</v>
      </c>
      <c r="X600" s="5" t="s">
        <v>1091</v>
      </c>
      <c r="Y600" s="5" t="s">
        <v>457</v>
      </c>
      <c r="Z600" s="5" t="s">
        <v>40</v>
      </c>
      <c r="AA600" s="5" t="s">
        <v>41</v>
      </c>
      <c r="AB600" s="193" t="s">
        <v>1263</v>
      </c>
      <c r="AC600" s="8" t="s">
        <v>3370</v>
      </c>
      <c r="AD600" s="74" t="s">
        <v>74</v>
      </c>
      <c r="AE600" s="215">
        <v>3000</v>
      </c>
    </row>
    <row r="601" spans="1:31" s="1" customFormat="1" ht="43.2">
      <c r="A601" s="454"/>
      <c r="B601" s="141" t="s">
        <v>28</v>
      </c>
      <c r="C601" s="1440" t="s">
        <v>3371</v>
      </c>
      <c r="D601" s="8" t="s">
        <v>29</v>
      </c>
      <c r="E601" s="8"/>
      <c r="F601" s="8"/>
      <c r="G601" s="8"/>
      <c r="H601" s="5" t="s">
        <v>867</v>
      </c>
      <c r="I601" s="5" t="s">
        <v>34</v>
      </c>
      <c r="J601" s="16" t="s">
        <v>3372</v>
      </c>
      <c r="K601" s="8"/>
      <c r="L601" s="8"/>
      <c r="M601" s="193">
        <v>42985</v>
      </c>
      <c r="N601" s="193"/>
      <c r="O601" s="193">
        <v>43770</v>
      </c>
      <c r="P601" s="5">
        <v>24</v>
      </c>
      <c r="Q601" s="5">
        <v>24</v>
      </c>
      <c r="R601" s="18">
        <v>100000</v>
      </c>
      <c r="S601" s="5" t="s">
        <v>163</v>
      </c>
      <c r="T601" s="157" t="s">
        <v>54</v>
      </c>
      <c r="U601" s="4"/>
      <c r="V601" s="4"/>
      <c r="W601" s="5" t="s">
        <v>3373</v>
      </c>
      <c r="X601" s="5" t="s">
        <v>184</v>
      </c>
      <c r="Y601" s="5" t="s">
        <v>457</v>
      </c>
      <c r="Z601" s="5"/>
      <c r="AA601" s="5"/>
      <c r="AB601" s="193">
        <v>43476</v>
      </c>
      <c r="AC601" s="8" t="s">
        <v>3374</v>
      </c>
      <c r="AE601" s="158">
        <v>50000</v>
      </c>
    </row>
    <row r="602" spans="1:31" s="1" customFormat="1" ht="28.8">
      <c r="A602" s="888"/>
      <c r="B602" s="141" t="s">
        <v>28</v>
      </c>
      <c r="C602" s="67" t="s">
        <v>3375</v>
      </c>
      <c r="D602" s="8" t="s">
        <v>29</v>
      </c>
      <c r="E602" s="8"/>
      <c r="F602" s="8"/>
      <c r="G602" s="8"/>
      <c r="H602" s="5" t="s">
        <v>70</v>
      </c>
      <c r="I602" s="5" t="s">
        <v>34</v>
      </c>
      <c r="J602" s="16" t="s">
        <v>3376</v>
      </c>
      <c r="K602" s="8"/>
      <c r="L602" s="173"/>
      <c r="M602" s="193">
        <v>43132</v>
      </c>
      <c r="N602" s="193"/>
      <c r="O602" s="193">
        <v>43770</v>
      </c>
      <c r="P602" s="5">
        <v>60</v>
      </c>
      <c r="Q602" s="7" t="s">
        <v>162</v>
      </c>
      <c r="R602" s="18">
        <v>342150</v>
      </c>
      <c r="S602" s="5" t="s">
        <v>109</v>
      </c>
      <c r="T602" s="157" t="s">
        <v>54</v>
      </c>
      <c r="U602" s="4"/>
      <c r="V602" s="4"/>
      <c r="W602" s="5" t="s">
        <v>3377</v>
      </c>
      <c r="X602" s="5" t="s">
        <v>234</v>
      </c>
      <c r="Y602" s="5" t="s">
        <v>457</v>
      </c>
      <c r="Z602" s="5"/>
      <c r="AA602" s="5"/>
      <c r="AB602" s="193">
        <v>43679</v>
      </c>
      <c r="AC602" s="35" t="s">
        <v>3378</v>
      </c>
      <c r="AE602" s="158">
        <v>88340</v>
      </c>
    </row>
    <row r="603" spans="1:31" s="1" customFormat="1" ht="14.4" customHeight="1">
      <c r="A603" s="888"/>
      <c r="B603" s="141" t="s">
        <v>28</v>
      </c>
      <c r="C603" s="67" t="s">
        <v>3379</v>
      </c>
      <c r="D603" s="8" t="s">
        <v>29</v>
      </c>
      <c r="E603" s="8"/>
      <c r="F603" s="8"/>
      <c r="G603" s="8"/>
      <c r="H603" s="5" t="s">
        <v>45</v>
      </c>
      <c r="I603" s="5" t="s">
        <v>34</v>
      </c>
      <c r="J603" s="16" t="s">
        <v>3380</v>
      </c>
      <c r="K603" s="16"/>
      <c r="L603" s="16"/>
      <c r="M603" s="176">
        <v>43313</v>
      </c>
      <c r="N603" s="176"/>
      <c r="O603" s="176">
        <v>43770</v>
      </c>
      <c r="P603" s="12">
        <v>36</v>
      </c>
      <c r="Q603" s="7" t="s">
        <v>488</v>
      </c>
      <c r="R603" s="18">
        <v>28785</v>
      </c>
      <c r="S603" s="5" t="s">
        <v>109</v>
      </c>
      <c r="T603" s="157" t="s">
        <v>54</v>
      </c>
      <c r="U603" s="4"/>
      <c r="V603" s="4"/>
      <c r="W603" s="12" t="s">
        <v>3381</v>
      </c>
      <c r="X603" s="5" t="s">
        <v>1053</v>
      </c>
      <c r="Y603" s="5" t="s">
        <v>457</v>
      </c>
      <c r="Z603" s="5"/>
      <c r="AA603" s="12"/>
      <c r="AB603" s="193">
        <v>43497</v>
      </c>
      <c r="AC603" s="8" t="s">
        <v>3382</v>
      </c>
      <c r="AE603" s="223">
        <v>9595</v>
      </c>
    </row>
    <row r="604" spans="1:31" s="1" customFormat="1" ht="43.35" customHeight="1">
      <c r="A604" s="888"/>
      <c r="B604" s="141" t="s">
        <v>28</v>
      </c>
      <c r="C604" s="67" t="s">
        <v>3383</v>
      </c>
      <c r="D604" s="8" t="s">
        <v>82</v>
      </c>
      <c r="E604" s="8"/>
      <c r="F604" s="8"/>
      <c r="G604" s="8"/>
      <c r="H604" s="5" t="s">
        <v>70</v>
      </c>
      <c r="I604" s="12" t="s">
        <v>50</v>
      </c>
      <c r="J604" s="97" t="s">
        <v>3015</v>
      </c>
      <c r="K604" s="97"/>
      <c r="L604" s="97"/>
      <c r="M604" s="176">
        <v>43452</v>
      </c>
      <c r="N604" s="176"/>
      <c r="O604" s="176">
        <v>43770</v>
      </c>
      <c r="P604" s="13" t="s">
        <v>754</v>
      </c>
      <c r="Q604" s="28" t="s">
        <v>754</v>
      </c>
      <c r="R604" s="18">
        <v>22000</v>
      </c>
      <c r="S604" s="5" t="s">
        <v>53</v>
      </c>
      <c r="T604" s="27" t="s">
        <v>54</v>
      </c>
      <c r="U604" s="4"/>
      <c r="V604" s="4"/>
      <c r="W604" s="5" t="s">
        <v>117</v>
      </c>
      <c r="X604" s="5" t="s">
        <v>1053</v>
      </c>
      <c r="Y604" s="5" t="s">
        <v>457</v>
      </c>
      <c r="Z604" s="5"/>
      <c r="AA604" s="12"/>
      <c r="AB604" s="193">
        <v>43514</v>
      </c>
      <c r="AC604" s="35" t="s">
        <v>3384</v>
      </c>
      <c r="AE604" s="215"/>
    </row>
    <row r="605" spans="1:31" s="1" customFormat="1" ht="28.8">
      <c r="A605" s="888"/>
      <c r="B605" s="141" t="s">
        <v>28</v>
      </c>
      <c r="C605" s="67"/>
      <c r="D605" s="5" t="s">
        <v>29</v>
      </c>
      <c r="E605" s="5"/>
      <c r="F605" s="5"/>
      <c r="G605" s="5"/>
      <c r="H605" s="5" t="s">
        <v>119</v>
      </c>
      <c r="I605" s="5" t="s">
        <v>34</v>
      </c>
      <c r="J605" s="16" t="s">
        <v>362</v>
      </c>
      <c r="K605" s="8"/>
      <c r="L605" s="8"/>
      <c r="M605" s="193">
        <v>43466</v>
      </c>
      <c r="N605" s="193"/>
      <c r="O605" s="193">
        <v>43770</v>
      </c>
      <c r="P605" s="5">
        <v>48</v>
      </c>
      <c r="Q605" s="7" t="s">
        <v>191</v>
      </c>
      <c r="R605" s="18">
        <v>120000</v>
      </c>
      <c r="S605" s="5" t="s">
        <v>3385</v>
      </c>
      <c r="T605" s="157" t="s">
        <v>54</v>
      </c>
      <c r="U605" s="4"/>
      <c r="V605" s="4"/>
      <c r="W605" s="5" t="s">
        <v>89</v>
      </c>
      <c r="X605" s="5" t="s">
        <v>234</v>
      </c>
      <c r="Y605" s="5" t="s">
        <v>457</v>
      </c>
      <c r="Z605" s="5"/>
      <c r="AA605" s="5"/>
      <c r="AB605" s="193">
        <v>43749</v>
      </c>
      <c r="AC605" s="8" t="s">
        <v>3386</v>
      </c>
      <c r="AE605" s="158">
        <v>30000</v>
      </c>
    </row>
    <row r="606" spans="1:31" s="1" customFormat="1" ht="43.35" customHeight="1">
      <c r="A606" s="888"/>
      <c r="B606" s="141" t="s">
        <v>28</v>
      </c>
      <c r="C606" s="67" t="s">
        <v>651</v>
      </c>
      <c r="D606" s="8" t="s">
        <v>29</v>
      </c>
      <c r="E606" s="8"/>
      <c r="F606" s="8"/>
      <c r="G606" s="8"/>
      <c r="H606" s="5" t="s">
        <v>70</v>
      </c>
      <c r="I606" s="5" t="s">
        <v>34</v>
      </c>
      <c r="J606" s="16" t="s">
        <v>3387</v>
      </c>
      <c r="K606" s="8"/>
      <c r="L606" s="8"/>
      <c r="M606" s="14">
        <v>43556</v>
      </c>
      <c r="N606" s="14"/>
      <c r="O606" s="14">
        <v>43770</v>
      </c>
      <c r="P606" s="12">
        <v>36</v>
      </c>
      <c r="Q606" s="5">
        <v>36</v>
      </c>
      <c r="R606" s="18">
        <v>16074</v>
      </c>
      <c r="S606" s="176" t="s">
        <v>909</v>
      </c>
      <c r="T606" s="155" t="s">
        <v>54</v>
      </c>
      <c r="U606" s="4"/>
      <c r="V606" s="4"/>
      <c r="W606" s="5" t="s">
        <v>472</v>
      </c>
      <c r="X606" s="5" t="s">
        <v>150</v>
      </c>
      <c r="Y606" s="5" t="s">
        <v>457</v>
      </c>
      <c r="Z606" s="5"/>
      <c r="AA606" s="5"/>
      <c r="AB606" s="193">
        <v>43641</v>
      </c>
      <c r="AC606" s="100" t="s">
        <v>3388</v>
      </c>
      <c r="AE606" s="214">
        <v>3000</v>
      </c>
    </row>
    <row r="607" spans="1:31" s="1" customFormat="1" ht="43.2">
      <c r="A607" s="888"/>
      <c r="B607" s="141" t="s">
        <v>28</v>
      </c>
      <c r="C607" s="67" t="s">
        <v>3389</v>
      </c>
      <c r="D607" s="5" t="s">
        <v>29</v>
      </c>
      <c r="E607" s="5"/>
      <c r="F607" s="5"/>
      <c r="G607" s="5"/>
      <c r="H607" s="1335" t="s">
        <v>70</v>
      </c>
      <c r="I607" s="1335" t="s">
        <v>34</v>
      </c>
      <c r="J607" s="1339" t="s">
        <v>3390</v>
      </c>
      <c r="K607" s="1339"/>
      <c r="L607" s="1339"/>
      <c r="M607" s="193">
        <v>43662</v>
      </c>
      <c r="N607" s="193"/>
      <c r="O607" s="176">
        <v>43770</v>
      </c>
      <c r="P607" s="1335">
        <v>24</v>
      </c>
      <c r="Q607" s="1332" t="s">
        <v>366</v>
      </c>
      <c r="R607" s="18">
        <v>900</v>
      </c>
      <c r="S607" s="1338" t="s">
        <v>909</v>
      </c>
      <c r="T607" s="1332" t="s">
        <v>54</v>
      </c>
      <c r="U607" s="4"/>
      <c r="V607" s="4"/>
      <c r="W607" s="1335" t="s">
        <v>3391</v>
      </c>
      <c r="X607" s="1335" t="s">
        <v>1053</v>
      </c>
      <c r="Y607" s="5" t="s">
        <v>457</v>
      </c>
      <c r="Z607" s="5"/>
      <c r="AA607" s="1336"/>
      <c r="AB607" s="42">
        <v>43756</v>
      </c>
      <c r="AC607" s="1340" t="s">
        <v>1246</v>
      </c>
      <c r="AE607" s="1450"/>
    </row>
    <row r="608" spans="1:31" s="1" customFormat="1" ht="43.2">
      <c r="A608" s="895"/>
      <c r="B608" s="141" t="s">
        <v>28</v>
      </c>
      <c r="C608" s="67" t="s">
        <v>3392</v>
      </c>
      <c r="D608" s="5" t="s">
        <v>29</v>
      </c>
      <c r="E608" s="5"/>
      <c r="F608" s="5"/>
      <c r="G608" s="5"/>
      <c r="H608" s="1335" t="s">
        <v>70</v>
      </c>
      <c r="I608" s="1335" t="s">
        <v>34</v>
      </c>
      <c r="J608" s="1339" t="s">
        <v>3393</v>
      </c>
      <c r="K608" s="1339"/>
      <c r="L608" s="1339"/>
      <c r="M608" s="193">
        <v>43662</v>
      </c>
      <c r="N608" s="193"/>
      <c r="O608" s="176">
        <v>43770</v>
      </c>
      <c r="P608" s="1335">
        <v>12</v>
      </c>
      <c r="Q608" s="1335">
        <v>12</v>
      </c>
      <c r="R608" s="18">
        <v>13000</v>
      </c>
      <c r="S608" s="1335" t="s">
        <v>909</v>
      </c>
      <c r="T608" s="1332" t="s">
        <v>54</v>
      </c>
      <c r="U608" s="4"/>
      <c r="V608" s="4"/>
      <c r="W608" s="1335" t="s">
        <v>3391</v>
      </c>
      <c r="X608" s="1335" t="s">
        <v>1053</v>
      </c>
      <c r="Y608" s="5" t="s">
        <v>457</v>
      </c>
      <c r="Z608" s="5"/>
      <c r="AA608" s="1339"/>
      <c r="AB608" s="193">
        <v>43756</v>
      </c>
      <c r="AC608" s="1327" t="s">
        <v>1246</v>
      </c>
      <c r="AE608" s="1450"/>
    </row>
    <row r="609" spans="1:32" s="1" customFormat="1" ht="57.6">
      <c r="A609" s="888"/>
      <c r="B609" s="141" t="s">
        <v>28</v>
      </c>
      <c r="C609" s="67" t="s">
        <v>1310</v>
      </c>
      <c r="D609" s="5" t="s">
        <v>29</v>
      </c>
      <c r="E609" s="5"/>
      <c r="F609" s="5"/>
      <c r="G609" s="5"/>
      <c r="H609" s="1335" t="s">
        <v>70</v>
      </c>
      <c r="I609" s="1335" t="s">
        <v>34</v>
      </c>
      <c r="J609" s="1339" t="s">
        <v>3394</v>
      </c>
      <c r="K609" s="1339"/>
      <c r="L609" s="1339"/>
      <c r="M609" s="193">
        <v>43662</v>
      </c>
      <c r="N609" s="193"/>
      <c r="O609" s="176">
        <v>43770</v>
      </c>
      <c r="P609" s="1335">
        <v>24</v>
      </c>
      <c r="Q609" s="1335" t="s">
        <v>366</v>
      </c>
      <c r="R609" s="18">
        <v>6000</v>
      </c>
      <c r="S609" s="1335" t="s">
        <v>109</v>
      </c>
      <c r="T609" s="1332" t="s">
        <v>54</v>
      </c>
      <c r="U609" s="4"/>
      <c r="V609" s="4"/>
      <c r="W609" s="1335" t="s">
        <v>3156</v>
      </c>
      <c r="X609" s="5" t="s">
        <v>1091</v>
      </c>
      <c r="Y609" s="5" t="s">
        <v>457</v>
      </c>
      <c r="Z609" s="5"/>
      <c r="AA609" s="1339"/>
      <c r="AB609" s="193">
        <v>43801</v>
      </c>
      <c r="AC609" s="1327" t="s">
        <v>3395</v>
      </c>
      <c r="AE609" s="1450">
        <v>3000</v>
      </c>
    </row>
    <row r="610" spans="1:32" s="93" customFormat="1" ht="43.35" customHeight="1">
      <c r="A610" s="888"/>
      <c r="B610" s="141" t="s">
        <v>28</v>
      </c>
      <c r="C610" s="67" t="s">
        <v>1310</v>
      </c>
      <c r="D610" s="5" t="s">
        <v>29</v>
      </c>
      <c r="E610" s="5"/>
      <c r="F610" s="5"/>
      <c r="G610" s="5"/>
      <c r="H610" s="137" t="s">
        <v>70</v>
      </c>
      <c r="I610" s="103" t="s">
        <v>34</v>
      </c>
      <c r="J610" s="138" t="s">
        <v>3396</v>
      </c>
      <c r="K610" s="138"/>
      <c r="L610" s="138"/>
      <c r="M610" s="139">
        <v>43696</v>
      </c>
      <c r="N610" s="139"/>
      <c r="O610" s="139">
        <v>43770</v>
      </c>
      <c r="P610" s="132">
        <v>24</v>
      </c>
      <c r="Q610" s="133" t="s">
        <v>366</v>
      </c>
      <c r="R610" s="126">
        <v>350</v>
      </c>
      <c r="S610" s="134" t="s">
        <v>109</v>
      </c>
      <c r="T610" s="1332" t="s">
        <v>54</v>
      </c>
      <c r="U610" s="4"/>
      <c r="V610" s="4"/>
      <c r="W610" s="135" t="s">
        <v>1022</v>
      </c>
      <c r="X610" s="135" t="s">
        <v>1053</v>
      </c>
      <c r="Y610" s="135" t="s">
        <v>457</v>
      </c>
      <c r="Z610" s="135"/>
      <c r="AA610" s="1228"/>
      <c r="AB610" s="1454">
        <v>43801</v>
      </c>
      <c r="AC610" s="1340" t="s">
        <v>1246</v>
      </c>
      <c r="AD610" s="34"/>
      <c r="AE610" s="226"/>
      <c r="AF610" s="1"/>
    </row>
    <row r="611" spans="1:32" s="1" customFormat="1" ht="43.2">
      <c r="A611" s="888"/>
      <c r="B611" s="141" t="s">
        <v>28</v>
      </c>
      <c r="C611" s="1449" t="s">
        <v>3397</v>
      </c>
      <c r="D611" s="1403" t="s">
        <v>29</v>
      </c>
      <c r="E611" s="1403"/>
      <c r="F611" s="1403"/>
      <c r="G611" s="1403"/>
      <c r="H611" s="1375" t="s">
        <v>364</v>
      </c>
      <c r="I611" s="1403" t="s">
        <v>34</v>
      </c>
      <c r="J611" s="1447" t="s">
        <v>3398</v>
      </c>
      <c r="K611" s="1447"/>
      <c r="L611" s="1447"/>
      <c r="M611" s="1429">
        <v>43721</v>
      </c>
      <c r="N611" s="1429"/>
      <c r="O611" s="1429">
        <v>43770</v>
      </c>
      <c r="P611" s="1403">
        <v>60</v>
      </c>
      <c r="Q611" s="1375" t="s">
        <v>162</v>
      </c>
      <c r="R611" s="18">
        <v>72000</v>
      </c>
      <c r="S611" s="1403" t="s">
        <v>109</v>
      </c>
      <c r="T611" s="1439" t="s">
        <v>54</v>
      </c>
      <c r="U611" s="10"/>
      <c r="V611" s="10"/>
      <c r="W611" s="125" t="s">
        <v>3296</v>
      </c>
      <c r="X611" s="1375" t="s">
        <v>1053</v>
      </c>
      <c r="Y611" s="1375" t="s">
        <v>457</v>
      </c>
      <c r="Z611" s="1375"/>
      <c r="AA611" s="1400"/>
      <c r="AB611" s="1386">
        <v>43773</v>
      </c>
      <c r="AC611" s="1448" t="s">
        <v>1246</v>
      </c>
      <c r="AD611" s="34"/>
      <c r="AE611" s="1445"/>
    </row>
    <row r="612" spans="1:32" s="1" customFormat="1" ht="57.6">
      <c r="A612" s="888"/>
      <c r="B612" s="141" t="s">
        <v>28</v>
      </c>
      <c r="C612" s="67" t="s">
        <v>3399</v>
      </c>
      <c r="D612" s="5" t="s">
        <v>29</v>
      </c>
      <c r="E612" s="5"/>
      <c r="F612" s="5"/>
      <c r="G612" s="5"/>
      <c r="H612" s="5" t="s">
        <v>364</v>
      </c>
      <c r="I612" s="5" t="s">
        <v>34</v>
      </c>
      <c r="J612" s="16" t="s">
        <v>3400</v>
      </c>
      <c r="K612" s="16"/>
      <c r="L612" s="16"/>
      <c r="M612" s="176">
        <v>43788</v>
      </c>
      <c r="N612" s="176"/>
      <c r="O612" s="176">
        <v>43770</v>
      </c>
      <c r="P612" s="1330">
        <v>36</v>
      </c>
      <c r="Q612" s="12">
        <v>36</v>
      </c>
      <c r="R612" s="18">
        <v>24000</v>
      </c>
      <c r="S612" s="176" t="s">
        <v>909</v>
      </c>
      <c r="T612" s="163" t="s">
        <v>54</v>
      </c>
      <c r="U612" s="50" t="s">
        <v>37</v>
      </c>
      <c r="V612" s="50"/>
      <c r="W612" s="5" t="s">
        <v>415</v>
      </c>
      <c r="X612" s="5" t="s">
        <v>1053</v>
      </c>
      <c r="Y612" s="5" t="s">
        <v>457</v>
      </c>
      <c r="Z612" s="5"/>
      <c r="AA612" s="5"/>
      <c r="AB612" s="193">
        <v>43914</v>
      </c>
      <c r="AC612" s="8" t="s">
        <v>1246</v>
      </c>
      <c r="AD612" s="70" t="s">
        <v>416</v>
      </c>
      <c r="AE612" s="215"/>
    </row>
    <row r="613" spans="1:32" s="1" customFormat="1" ht="115.35" customHeight="1">
      <c r="A613" s="852"/>
      <c r="B613" s="713" t="s">
        <v>48</v>
      </c>
      <c r="C613" s="720" t="s">
        <v>125</v>
      </c>
      <c r="D613" s="466" t="s">
        <v>60</v>
      </c>
      <c r="E613" s="466"/>
      <c r="F613" s="466"/>
      <c r="G613" s="466"/>
      <c r="H613" s="466" t="s">
        <v>127</v>
      </c>
      <c r="I613" s="474" t="s">
        <v>34</v>
      </c>
      <c r="J613" s="1024" t="s">
        <v>2014</v>
      </c>
      <c r="K613" s="467"/>
      <c r="L613" s="485">
        <v>43598</v>
      </c>
      <c r="M613" s="485"/>
      <c r="N613" s="485"/>
      <c r="O613" s="485">
        <v>43770</v>
      </c>
      <c r="P613" s="471" t="s">
        <v>125</v>
      </c>
      <c r="Q613" s="471" t="s">
        <v>125</v>
      </c>
      <c r="R613" s="542">
        <v>75000</v>
      </c>
      <c r="S613" s="478" t="s">
        <v>125</v>
      </c>
      <c r="T613" s="803" t="s">
        <v>36</v>
      </c>
      <c r="U613" s="470" t="s">
        <v>125</v>
      </c>
      <c r="V613" s="470"/>
      <c r="W613" s="474" t="s">
        <v>2015</v>
      </c>
      <c r="X613" s="114"/>
      <c r="Y613" s="114"/>
      <c r="Z613" s="114"/>
      <c r="AA613" s="114"/>
      <c r="AB613" s="114"/>
      <c r="AC613" s="114"/>
      <c r="AD613"/>
      <c r="AE613" s="180"/>
    </row>
    <row r="614" spans="1:32" s="1" customFormat="1" ht="28.8">
      <c r="A614" s="895"/>
      <c r="B614" s="141" t="s">
        <v>28</v>
      </c>
      <c r="C614" s="67"/>
      <c r="D614" s="5" t="s">
        <v>29</v>
      </c>
      <c r="E614" s="5"/>
      <c r="F614" s="5"/>
      <c r="G614" s="5"/>
      <c r="H614" s="5" t="s">
        <v>70</v>
      </c>
      <c r="I614" s="5" t="s">
        <v>34</v>
      </c>
      <c r="J614" s="16" t="s">
        <v>3401</v>
      </c>
      <c r="K614" s="8"/>
      <c r="L614" s="8"/>
      <c r="M614" s="193">
        <v>43586</v>
      </c>
      <c r="N614" s="193"/>
      <c r="O614" s="193">
        <v>43776</v>
      </c>
      <c r="P614" s="5">
        <v>12</v>
      </c>
      <c r="Q614" s="25" t="s">
        <v>108</v>
      </c>
      <c r="R614" s="18">
        <v>23000</v>
      </c>
      <c r="S614" s="30" t="s">
        <v>109</v>
      </c>
      <c r="T614" s="157" t="s">
        <v>54</v>
      </c>
      <c r="U614" s="4"/>
      <c r="V614" s="4"/>
      <c r="W614" s="5" t="s">
        <v>689</v>
      </c>
      <c r="X614" s="43" t="s">
        <v>150</v>
      </c>
      <c r="Y614" s="5" t="s">
        <v>457</v>
      </c>
      <c r="Z614" s="5"/>
      <c r="AA614" s="26"/>
      <c r="AB614" s="42">
        <v>43801</v>
      </c>
      <c r="AC614" s="1244" t="s">
        <v>3402</v>
      </c>
      <c r="AE614" s="158"/>
    </row>
    <row r="615" spans="1:32" s="1" customFormat="1" ht="52.8">
      <c r="A615" s="852"/>
      <c r="B615" s="713" t="s">
        <v>48</v>
      </c>
      <c r="C615" s="720" t="s">
        <v>1906</v>
      </c>
      <c r="D615" s="466" t="s">
        <v>60</v>
      </c>
      <c r="E615" s="466"/>
      <c r="F615" s="466"/>
      <c r="G615" s="466"/>
      <c r="H615" s="466" t="s">
        <v>127</v>
      </c>
      <c r="I615" s="474" t="s">
        <v>34</v>
      </c>
      <c r="J615" s="1024" t="s">
        <v>1907</v>
      </c>
      <c r="K615" s="467"/>
      <c r="L615" s="485">
        <v>43745</v>
      </c>
      <c r="M615" s="485"/>
      <c r="N615" s="485"/>
      <c r="O615" s="485">
        <v>43780</v>
      </c>
      <c r="P615" s="471">
        <v>3</v>
      </c>
      <c r="Q615" s="471">
        <v>3</v>
      </c>
      <c r="R615" s="542">
        <v>100000</v>
      </c>
      <c r="S615" s="478" t="s">
        <v>1663</v>
      </c>
      <c r="T615" s="803" t="s">
        <v>36</v>
      </c>
      <c r="U615" s="470"/>
      <c r="V615" s="470"/>
      <c r="W615" s="488"/>
      <c r="X615" s="114"/>
      <c r="Y615" s="114"/>
      <c r="Z615" s="114"/>
      <c r="AA615" s="114"/>
      <c r="AB615" s="114"/>
      <c r="AC615" s="114"/>
      <c r="AD615"/>
      <c r="AE615" s="180"/>
    </row>
    <row r="616" spans="1:32" s="1" customFormat="1" ht="43.2">
      <c r="A616" s="888"/>
      <c r="B616" s="141" t="s">
        <v>28</v>
      </c>
      <c r="C616" s="67" t="s">
        <v>3403</v>
      </c>
      <c r="D616" s="5" t="s">
        <v>29</v>
      </c>
      <c r="E616" s="5"/>
      <c r="F616" s="5"/>
      <c r="G616" s="5"/>
      <c r="H616" s="147" t="s">
        <v>260</v>
      </c>
      <c r="I616" s="132" t="s">
        <v>34</v>
      </c>
      <c r="J616" s="138" t="s">
        <v>3404</v>
      </c>
      <c r="K616" s="148"/>
      <c r="L616" s="148"/>
      <c r="M616" s="139">
        <v>43651</v>
      </c>
      <c r="N616" s="139"/>
      <c r="O616" s="139">
        <v>43791</v>
      </c>
      <c r="P616" s="132">
        <v>60</v>
      </c>
      <c r="Q616" s="133">
        <v>60</v>
      </c>
      <c r="R616" s="126">
        <v>175000</v>
      </c>
      <c r="S616" s="1201" t="s">
        <v>1163</v>
      </c>
      <c r="T616" s="26" t="s">
        <v>36</v>
      </c>
      <c r="U616" s="4"/>
      <c r="V616" s="4"/>
      <c r="W616" s="132" t="s">
        <v>343</v>
      </c>
      <c r="X616" s="135" t="s">
        <v>1053</v>
      </c>
      <c r="Y616" s="135" t="s">
        <v>179</v>
      </c>
      <c r="Z616" s="135"/>
      <c r="AA616" s="136"/>
      <c r="AB616" s="149">
        <v>43808</v>
      </c>
      <c r="AC616" s="148" t="s">
        <v>1246</v>
      </c>
      <c r="AD616" s="34"/>
      <c r="AE616" s="226"/>
    </row>
    <row r="617" spans="1:32" s="1" customFormat="1" ht="101.1" customHeight="1">
      <c r="A617" s="1061">
        <v>44974</v>
      </c>
      <c r="B617" s="1020" t="s">
        <v>210</v>
      </c>
      <c r="C617" s="1075" t="s">
        <v>3405</v>
      </c>
      <c r="D617" s="1072" t="s">
        <v>1360</v>
      </c>
      <c r="E617" s="1066" t="s">
        <v>210</v>
      </c>
      <c r="F617" s="1066" t="s">
        <v>190</v>
      </c>
      <c r="G617" s="1066" t="s">
        <v>190</v>
      </c>
      <c r="H617" s="1066" t="s">
        <v>190</v>
      </c>
      <c r="I617" s="1066" t="s">
        <v>190</v>
      </c>
      <c r="J617" s="1095" t="s">
        <v>1162</v>
      </c>
      <c r="K617" s="1072" t="s">
        <v>1154</v>
      </c>
      <c r="L617" s="1066" t="s">
        <v>190</v>
      </c>
      <c r="M617" s="1066" t="s">
        <v>190</v>
      </c>
      <c r="N617" s="1066" t="s">
        <v>190</v>
      </c>
      <c r="O617" s="1142">
        <v>43791</v>
      </c>
      <c r="P617" s="1142">
        <v>44521</v>
      </c>
      <c r="Q617" s="1072" t="s">
        <v>100</v>
      </c>
      <c r="R617" s="1176">
        <v>1100000</v>
      </c>
      <c r="S617" s="1072" t="s">
        <v>158</v>
      </c>
      <c r="T617" s="1204" t="s">
        <v>190</v>
      </c>
      <c r="U617" s="1066" t="s">
        <v>190</v>
      </c>
      <c r="V617" s="1066"/>
      <c r="W617" s="1072" t="s">
        <v>293</v>
      </c>
      <c r="X617" s="1072" t="s">
        <v>1346</v>
      </c>
      <c r="Y617" s="1072" t="s">
        <v>1266</v>
      </c>
      <c r="Z617" s="1066" t="s">
        <v>190</v>
      </c>
      <c r="AA617" s="1066" t="s">
        <v>190</v>
      </c>
      <c r="AB617" s="1066" t="s">
        <v>190</v>
      </c>
      <c r="AC617" s="1095" t="s">
        <v>3406</v>
      </c>
      <c r="AD617" s="1068" t="s">
        <v>190</v>
      </c>
      <c r="AE617" s="1254">
        <v>1100000</v>
      </c>
      <c r="AF617"/>
    </row>
    <row r="618" spans="1:32" s="1" customFormat="1" ht="15.6">
      <c r="A618" s="1061">
        <v>44974</v>
      </c>
      <c r="B618" s="1020" t="s">
        <v>210</v>
      </c>
      <c r="C618" s="1075" t="s">
        <v>3405</v>
      </c>
      <c r="D618" s="1072" t="s">
        <v>1360</v>
      </c>
      <c r="E618" s="1066" t="s">
        <v>210</v>
      </c>
      <c r="F618" s="1066" t="s">
        <v>190</v>
      </c>
      <c r="G618" s="1066" t="s">
        <v>190</v>
      </c>
      <c r="H618" s="1066" t="s">
        <v>190</v>
      </c>
      <c r="I618" s="1066" t="s">
        <v>190</v>
      </c>
      <c r="J618" s="1095" t="s">
        <v>1162</v>
      </c>
      <c r="K618" s="1072" t="s">
        <v>1154</v>
      </c>
      <c r="L618" s="1066" t="s">
        <v>190</v>
      </c>
      <c r="M618" s="1066" t="s">
        <v>190</v>
      </c>
      <c r="N618" s="1066" t="s">
        <v>190</v>
      </c>
      <c r="O618" s="1142">
        <v>43791</v>
      </c>
      <c r="P618" s="1142">
        <v>45251</v>
      </c>
      <c r="Q618" s="1153">
        <v>45251</v>
      </c>
      <c r="R618" s="1176">
        <v>1100000</v>
      </c>
      <c r="S618" s="1021" t="s">
        <v>158</v>
      </c>
      <c r="T618" s="1204" t="s">
        <v>190</v>
      </c>
      <c r="U618" s="1066" t="s">
        <v>190</v>
      </c>
      <c r="V618" s="1066"/>
      <c r="W618" s="1072" t="s">
        <v>293</v>
      </c>
      <c r="X618" s="1072" t="s">
        <v>1346</v>
      </c>
      <c r="Y618" s="1072" t="s">
        <v>1266</v>
      </c>
      <c r="Z618" s="1066" t="s">
        <v>190</v>
      </c>
      <c r="AA618" s="1066" t="s">
        <v>190</v>
      </c>
      <c r="AB618" s="1066" t="s">
        <v>190</v>
      </c>
      <c r="AC618" s="1095" t="s">
        <v>3407</v>
      </c>
      <c r="AD618" s="1068" t="s">
        <v>190</v>
      </c>
      <c r="AE618" s="1254">
        <v>1100000</v>
      </c>
      <c r="AF618"/>
    </row>
    <row r="619" spans="1:32" s="1" customFormat="1" ht="14.4">
      <c r="A619" s="888"/>
      <c r="B619" s="141" t="s">
        <v>28</v>
      </c>
      <c r="C619" s="67"/>
      <c r="D619" s="15" t="s">
        <v>29</v>
      </c>
      <c r="E619" s="15"/>
      <c r="F619" s="15"/>
      <c r="G619" s="15"/>
      <c r="H619" s="9" t="s">
        <v>70</v>
      </c>
      <c r="I619" s="10" t="s">
        <v>34</v>
      </c>
      <c r="J619" s="16" t="s">
        <v>1004</v>
      </c>
      <c r="K619" s="16"/>
      <c r="L619" s="16"/>
      <c r="M619" s="176">
        <v>43570</v>
      </c>
      <c r="N619" s="176"/>
      <c r="O619" s="176">
        <v>43799</v>
      </c>
      <c r="P619" s="12">
        <v>60</v>
      </c>
      <c r="Q619" s="28" t="s">
        <v>143</v>
      </c>
      <c r="R619" s="80">
        <v>14140.14</v>
      </c>
      <c r="S619" s="5" t="s">
        <v>909</v>
      </c>
      <c r="T619" s="27" t="s">
        <v>54</v>
      </c>
      <c r="U619" s="4"/>
      <c r="V619" s="4"/>
      <c r="W619" s="12" t="s">
        <v>1005</v>
      </c>
      <c r="X619" s="15" t="s">
        <v>2788</v>
      </c>
      <c r="Y619" s="5" t="s">
        <v>457</v>
      </c>
      <c r="Z619" s="5"/>
      <c r="AA619" s="27"/>
      <c r="AB619" s="42">
        <v>43581</v>
      </c>
      <c r="AC619" s="69" t="s">
        <v>3408</v>
      </c>
      <c r="AE619" s="227">
        <v>2828</v>
      </c>
      <c r="AF619" s="1360"/>
    </row>
    <row r="620" spans="1:32" s="1" customFormat="1" ht="43.2">
      <c r="A620" s="888"/>
      <c r="B620" s="141" t="s">
        <v>28</v>
      </c>
      <c r="C620" s="67" t="s">
        <v>35</v>
      </c>
      <c r="D620" s="8" t="s">
        <v>29</v>
      </c>
      <c r="E620" s="8"/>
      <c r="F620" s="8"/>
      <c r="G620" s="8"/>
      <c r="H620" s="5" t="s">
        <v>119</v>
      </c>
      <c r="I620" s="12" t="s">
        <v>34</v>
      </c>
      <c r="J620" s="16" t="s">
        <v>229</v>
      </c>
      <c r="K620" s="8"/>
      <c r="L620" s="8"/>
      <c r="M620" s="193">
        <v>43374</v>
      </c>
      <c r="N620" s="193"/>
      <c r="O620" s="193">
        <v>43800</v>
      </c>
      <c r="P620" s="5">
        <v>24</v>
      </c>
      <c r="Q620" s="26" t="s">
        <v>366</v>
      </c>
      <c r="R620" s="18">
        <v>15000</v>
      </c>
      <c r="S620" s="30" t="s">
        <v>1163</v>
      </c>
      <c r="T620" s="157" t="s">
        <v>54</v>
      </c>
      <c r="U620" s="4"/>
      <c r="V620" s="4"/>
      <c r="W620" s="5" t="s">
        <v>3055</v>
      </c>
      <c r="X620" s="5" t="s">
        <v>150</v>
      </c>
      <c r="Y620" s="5" t="s">
        <v>457</v>
      </c>
      <c r="Z620" s="5"/>
      <c r="AA620" s="5"/>
      <c r="AB620" s="193">
        <v>43672</v>
      </c>
      <c r="AC620" s="8" t="s">
        <v>3409</v>
      </c>
      <c r="AE620" s="158"/>
    </row>
    <row r="621" spans="1:32" s="1" customFormat="1" ht="43.35" customHeight="1">
      <c r="A621" s="888"/>
      <c r="B621" s="141" t="s">
        <v>28</v>
      </c>
      <c r="C621" s="67" t="s">
        <v>3147</v>
      </c>
      <c r="D621" s="5" t="s">
        <v>29</v>
      </c>
      <c r="E621" s="5"/>
      <c r="F621" s="5"/>
      <c r="G621" s="5"/>
      <c r="H621" s="5" t="s">
        <v>70</v>
      </c>
      <c r="I621" s="5" t="s">
        <v>53</v>
      </c>
      <c r="J621" s="16" t="s">
        <v>3410</v>
      </c>
      <c r="K621" s="8"/>
      <c r="L621" s="8"/>
      <c r="M621" s="193">
        <v>43525</v>
      </c>
      <c r="N621" s="193"/>
      <c r="O621" s="193">
        <v>43800</v>
      </c>
      <c r="P621" s="5" t="s">
        <v>35</v>
      </c>
      <c r="Q621" s="26" t="s">
        <v>35</v>
      </c>
      <c r="R621" s="39">
        <v>2000000</v>
      </c>
      <c r="S621" s="30" t="s">
        <v>53</v>
      </c>
      <c r="T621" s="155" t="s">
        <v>35</v>
      </c>
      <c r="U621" s="4"/>
      <c r="V621" s="4"/>
      <c r="W621" s="5" t="s">
        <v>3411</v>
      </c>
      <c r="X621" s="5" t="s">
        <v>1053</v>
      </c>
      <c r="Y621" s="5" t="s">
        <v>457</v>
      </c>
      <c r="Z621" s="5"/>
      <c r="AA621" s="5"/>
      <c r="AB621" s="193">
        <v>43837</v>
      </c>
      <c r="AC621" s="35" t="s">
        <v>1246</v>
      </c>
      <c r="AD621" s="1360"/>
      <c r="AE621" s="158"/>
    </row>
    <row r="622" spans="1:32" s="1" customFormat="1" ht="28.8">
      <c r="A622" s="888"/>
      <c r="B622" s="141" t="s">
        <v>28</v>
      </c>
      <c r="C622" s="67"/>
      <c r="D622" s="9" t="s">
        <v>29</v>
      </c>
      <c r="E622" s="9"/>
      <c r="F622" s="9"/>
      <c r="G622" s="9"/>
      <c r="H622" s="5" t="s">
        <v>70</v>
      </c>
      <c r="I622" s="12" t="s">
        <v>34</v>
      </c>
      <c r="J622" s="16" t="s">
        <v>3412</v>
      </c>
      <c r="K622" s="16"/>
      <c r="L622" s="16"/>
      <c r="M622" s="176">
        <v>43586</v>
      </c>
      <c r="N622" s="176"/>
      <c r="O622" s="176">
        <v>43800</v>
      </c>
      <c r="P622" s="12">
        <v>24</v>
      </c>
      <c r="Q622" s="25" t="s">
        <v>365</v>
      </c>
      <c r="R622" s="18">
        <v>5400</v>
      </c>
      <c r="S622" s="30" t="s">
        <v>909</v>
      </c>
      <c r="T622" s="157" t="s">
        <v>54</v>
      </c>
      <c r="U622" s="4"/>
      <c r="V622" s="4"/>
      <c r="W622" s="12" t="s">
        <v>971</v>
      </c>
      <c r="X622" s="5" t="s">
        <v>90</v>
      </c>
      <c r="Y622" s="5" t="s">
        <v>457</v>
      </c>
      <c r="Z622" s="5"/>
      <c r="AA622" s="5"/>
      <c r="AB622" s="193">
        <v>43735</v>
      </c>
      <c r="AC622" s="8" t="s">
        <v>3413</v>
      </c>
      <c r="AE622" s="215"/>
    </row>
    <row r="623" spans="1:32" s="1" customFormat="1" ht="43.35" customHeight="1">
      <c r="A623" s="888"/>
      <c r="B623" s="141" t="s">
        <v>28</v>
      </c>
      <c r="C623" s="180"/>
      <c r="D623" s="9" t="s">
        <v>29</v>
      </c>
      <c r="E623" s="9"/>
      <c r="F623" s="9"/>
      <c r="G623" s="9"/>
      <c r="H623" s="5" t="s">
        <v>70</v>
      </c>
      <c r="I623" s="5" t="s">
        <v>64</v>
      </c>
      <c r="J623" s="16" t="s">
        <v>2717</v>
      </c>
      <c r="K623" s="16"/>
      <c r="L623" s="16"/>
      <c r="M623" s="176">
        <v>43696</v>
      </c>
      <c r="N623" s="176"/>
      <c r="O623" s="176">
        <v>43800</v>
      </c>
      <c r="P623" s="12">
        <v>48</v>
      </c>
      <c r="Q623" s="12" t="s">
        <v>3414</v>
      </c>
      <c r="R623" s="18">
        <v>800000</v>
      </c>
      <c r="S623" s="5" t="s">
        <v>66</v>
      </c>
      <c r="T623" s="161" t="s">
        <v>54</v>
      </c>
      <c r="U623" s="4"/>
      <c r="V623" s="4"/>
      <c r="W623" s="12" t="s">
        <v>2718</v>
      </c>
      <c r="X623" s="9" t="s">
        <v>1088</v>
      </c>
      <c r="Y623" s="5" t="s">
        <v>457</v>
      </c>
      <c r="Z623" s="5"/>
      <c r="AA623" s="12"/>
      <c r="AB623" s="193"/>
      <c r="AC623" s="8" t="s">
        <v>3415</v>
      </c>
      <c r="AE623" s="215">
        <v>192000</v>
      </c>
    </row>
    <row r="624" spans="1:32" s="1" customFormat="1" ht="101.1" customHeight="1">
      <c r="A624" s="888"/>
      <c r="B624" s="141" t="s">
        <v>28</v>
      </c>
      <c r="C624" s="67" t="s">
        <v>3416</v>
      </c>
      <c r="D624" s="5" t="s">
        <v>29</v>
      </c>
      <c r="E624" s="5"/>
      <c r="F624" s="5"/>
      <c r="G624" s="5"/>
      <c r="H624" s="5" t="s">
        <v>364</v>
      </c>
      <c r="I624" s="5" t="s">
        <v>34</v>
      </c>
      <c r="J624" s="16" t="s">
        <v>3417</v>
      </c>
      <c r="K624" s="16"/>
      <c r="L624" s="16"/>
      <c r="M624" s="176">
        <v>43770</v>
      </c>
      <c r="N624" s="176"/>
      <c r="O624" s="176">
        <v>43800</v>
      </c>
      <c r="P624" s="1330">
        <v>60</v>
      </c>
      <c r="Q624" s="65" t="s">
        <v>162</v>
      </c>
      <c r="R624" s="18">
        <v>112000</v>
      </c>
      <c r="S624" s="125" t="s">
        <v>217</v>
      </c>
      <c r="T624" s="163" t="s">
        <v>54</v>
      </c>
      <c r="U624" s="4"/>
      <c r="V624" s="4"/>
      <c r="W624" s="5" t="s">
        <v>3418</v>
      </c>
      <c r="X624" s="5" t="s">
        <v>1053</v>
      </c>
      <c r="Y624" s="5" t="s">
        <v>457</v>
      </c>
      <c r="Z624" s="5"/>
      <c r="AA624" s="5"/>
      <c r="AB624" s="193">
        <v>43864</v>
      </c>
      <c r="AC624" s="8" t="s">
        <v>1246</v>
      </c>
      <c r="AE624" s="215"/>
    </row>
    <row r="625" spans="1:51" s="282" customFormat="1" ht="57.6">
      <c r="A625" s="888"/>
      <c r="B625" s="141" t="s">
        <v>28</v>
      </c>
      <c r="C625" s="67" t="s">
        <v>3419</v>
      </c>
      <c r="D625" s="5" t="s">
        <v>29</v>
      </c>
      <c r="E625" s="68"/>
      <c r="F625" s="68"/>
      <c r="G625" s="68"/>
      <c r="H625" s="68" t="s">
        <v>364</v>
      </c>
      <c r="I625" s="5" t="s">
        <v>34</v>
      </c>
      <c r="J625" s="16" t="s">
        <v>3420</v>
      </c>
      <c r="K625" s="16"/>
      <c r="L625" s="16"/>
      <c r="M625" s="176">
        <v>43783</v>
      </c>
      <c r="N625" s="176"/>
      <c r="O625" s="176">
        <v>43800</v>
      </c>
      <c r="P625" s="12">
        <v>24</v>
      </c>
      <c r="Q625" s="176" t="s">
        <v>366</v>
      </c>
      <c r="R625" s="39">
        <v>25000</v>
      </c>
      <c r="S625" s="176" t="s">
        <v>909</v>
      </c>
      <c r="T625" s="155" t="s">
        <v>54</v>
      </c>
      <c r="U625" s="4"/>
      <c r="V625" s="4"/>
      <c r="W625" s="5" t="s">
        <v>415</v>
      </c>
      <c r="X625" s="5" t="s">
        <v>1053</v>
      </c>
      <c r="Y625" s="5" t="s">
        <v>457</v>
      </c>
      <c r="Z625" s="5"/>
      <c r="AA625" s="5"/>
      <c r="AB625" s="193">
        <v>43801</v>
      </c>
      <c r="AC625" s="8" t="s">
        <v>1246</v>
      </c>
      <c r="AD625" s="1"/>
      <c r="AE625" s="215"/>
      <c r="AF625" s="1"/>
      <c r="AG625" s="1360"/>
      <c r="AH625" s="1360"/>
      <c r="AI625" s="1360"/>
      <c r="AJ625" s="1360"/>
      <c r="AK625" s="1360"/>
      <c r="AL625" s="1360"/>
      <c r="AM625" s="1360"/>
      <c r="AN625" s="1360"/>
      <c r="AO625" s="1360"/>
      <c r="AP625" s="1360"/>
      <c r="AQ625" s="1360"/>
      <c r="AR625" s="1360"/>
      <c r="AS625" s="1360"/>
      <c r="AT625" s="1360"/>
      <c r="AU625" s="1360"/>
      <c r="AV625" s="1360"/>
      <c r="AW625" s="1360"/>
      <c r="AX625" s="1360"/>
      <c r="AY625" s="1360"/>
    </row>
    <row r="626" spans="1:51" s="282" customFormat="1" ht="28.8">
      <c r="A626" s="888"/>
      <c r="B626" s="141" t="s">
        <v>28</v>
      </c>
      <c r="C626" s="67"/>
      <c r="D626" s="5" t="s">
        <v>29</v>
      </c>
      <c r="E626" s="68"/>
      <c r="F626" s="68"/>
      <c r="G626" s="68"/>
      <c r="H626" s="68" t="s">
        <v>70</v>
      </c>
      <c r="I626" s="5" t="s">
        <v>34</v>
      </c>
      <c r="J626" s="16" t="s">
        <v>3421</v>
      </c>
      <c r="K626" s="16"/>
      <c r="L626" s="16"/>
      <c r="M626" s="176">
        <v>43767</v>
      </c>
      <c r="N626" s="176"/>
      <c r="O626" s="176">
        <v>43801</v>
      </c>
      <c r="P626" s="12">
        <v>60</v>
      </c>
      <c r="Q626" s="7" t="s">
        <v>143</v>
      </c>
      <c r="R626" s="18">
        <v>86306.16</v>
      </c>
      <c r="S626" s="5" t="s">
        <v>163</v>
      </c>
      <c r="T626" s="163" t="s">
        <v>36</v>
      </c>
      <c r="U626" s="10"/>
      <c r="V626" s="10"/>
      <c r="W626" s="12" t="s">
        <v>301</v>
      </c>
      <c r="X626" s="5" t="s">
        <v>2689</v>
      </c>
      <c r="Y626" s="5" t="s">
        <v>457</v>
      </c>
      <c r="Z626" s="5"/>
      <c r="AA626" s="5"/>
      <c r="AB626" s="193">
        <v>43801</v>
      </c>
      <c r="AC626" s="8" t="s">
        <v>3422</v>
      </c>
      <c r="AD626"/>
      <c r="AE626" s="215"/>
      <c r="AF626" s="1"/>
      <c r="AG626" s="1360"/>
      <c r="AH626" s="1360"/>
      <c r="AI626" s="1360"/>
      <c r="AJ626" s="1360"/>
      <c r="AK626" s="1360"/>
      <c r="AL626" s="1360"/>
      <c r="AM626" s="1360"/>
      <c r="AN626" s="1360"/>
      <c r="AO626" s="1360"/>
      <c r="AP626" s="1360"/>
      <c r="AQ626" s="1360"/>
      <c r="AR626" s="1360"/>
      <c r="AS626" s="1360"/>
      <c r="AT626" s="1360"/>
      <c r="AU626" s="1360"/>
      <c r="AV626" s="1360"/>
      <c r="AW626" s="1360"/>
      <c r="AX626" s="1360"/>
      <c r="AY626" s="1360"/>
    </row>
    <row r="627" spans="1:51" s="282" customFormat="1" ht="66">
      <c r="A627" s="852"/>
      <c r="B627" s="713" t="s">
        <v>48</v>
      </c>
      <c r="C627" s="720" t="s">
        <v>2231</v>
      </c>
      <c r="D627" s="466" t="s">
        <v>60</v>
      </c>
      <c r="E627" s="466"/>
      <c r="F627" s="466"/>
      <c r="G627" s="466"/>
      <c r="H627" s="466" t="s">
        <v>127</v>
      </c>
      <c r="I627" s="474" t="s">
        <v>34</v>
      </c>
      <c r="J627" s="1024" t="s">
        <v>2232</v>
      </c>
      <c r="K627" s="467"/>
      <c r="L627" s="467"/>
      <c r="M627" s="466">
        <v>12</v>
      </c>
      <c r="N627" s="469" t="str">
        <f>IF(O627="tbc","",(IFERROR(EDATE(#REF!,-3),"Invalid procurement method or date entered")))</f>
        <v>Invalid procurement method or date entered</v>
      </c>
      <c r="O627" s="470">
        <v>43803</v>
      </c>
      <c r="P627" s="471">
        <v>18</v>
      </c>
      <c r="Q627" s="471">
        <v>18</v>
      </c>
      <c r="R627" s="483">
        <v>35000000</v>
      </c>
      <c r="S627" s="470" t="s">
        <v>98</v>
      </c>
      <c r="T627" s="803" t="s">
        <v>144</v>
      </c>
      <c r="U627" s="470" t="s">
        <v>125</v>
      </c>
      <c r="V627" s="470"/>
      <c r="W627" s="474" t="s">
        <v>2233</v>
      </c>
      <c r="X627" s="114"/>
      <c r="Y627" s="114"/>
      <c r="Z627" s="114"/>
      <c r="AA627" s="114"/>
      <c r="AB627" s="114"/>
      <c r="AC627" s="114"/>
      <c r="AD627"/>
      <c r="AE627" s="180"/>
      <c r="AF627" s="1"/>
      <c r="AG627" s="1360"/>
      <c r="AH627" s="1360"/>
      <c r="AI627" s="1360"/>
      <c r="AJ627" s="1360"/>
      <c r="AK627" s="1360"/>
      <c r="AL627" s="1360"/>
      <c r="AM627" s="1360"/>
      <c r="AN627" s="1360"/>
      <c r="AO627" s="1360"/>
      <c r="AP627" s="1360"/>
      <c r="AQ627" s="1360"/>
      <c r="AR627" s="1360"/>
      <c r="AS627" s="1360"/>
      <c r="AT627" s="1360"/>
      <c r="AU627" s="1360"/>
      <c r="AV627" s="1360"/>
      <c r="AW627" s="1360"/>
      <c r="AX627" s="1360"/>
      <c r="AY627" s="1360"/>
    </row>
    <row r="628" spans="1:51" s="1" customFormat="1" ht="43.35" customHeight="1">
      <c r="A628" s="852"/>
      <c r="B628" s="713" t="s">
        <v>48</v>
      </c>
      <c r="C628" s="720" t="s">
        <v>1952</v>
      </c>
      <c r="D628" s="466" t="s">
        <v>60</v>
      </c>
      <c r="E628" s="466"/>
      <c r="F628" s="466"/>
      <c r="G628" s="466"/>
      <c r="H628" s="466" t="s">
        <v>127</v>
      </c>
      <c r="I628" s="474" t="s">
        <v>34</v>
      </c>
      <c r="J628" s="1024" t="s">
        <v>1953</v>
      </c>
      <c r="K628" s="467"/>
      <c r="L628" s="485">
        <v>43780</v>
      </c>
      <c r="M628" s="485"/>
      <c r="N628" s="485"/>
      <c r="O628" s="485">
        <v>43808</v>
      </c>
      <c r="P628" s="471">
        <v>1</v>
      </c>
      <c r="Q628" s="471">
        <v>1</v>
      </c>
      <c r="R628" s="542">
        <v>80000</v>
      </c>
      <c r="S628" s="478" t="s">
        <v>158</v>
      </c>
      <c r="T628" s="803" t="s">
        <v>36</v>
      </c>
      <c r="U628" s="470"/>
      <c r="V628" s="470"/>
      <c r="W628" s="488"/>
      <c r="X628" s="114"/>
      <c r="Y628" s="114"/>
      <c r="Z628" s="114"/>
      <c r="AA628" s="114"/>
      <c r="AB628" s="114"/>
      <c r="AC628" s="114"/>
      <c r="AD628"/>
      <c r="AE628" s="180"/>
    </row>
    <row r="629" spans="1:51" s="1" customFormat="1" ht="43.35" customHeight="1">
      <c r="A629" s="888"/>
      <c r="B629" s="141" t="s">
        <v>28</v>
      </c>
      <c r="C629" s="67" t="s">
        <v>43</v>
      </c>
      <c r="D629" s="5" t="s">
        <v>29</v>
      </c>
      <c r="E629" s="5"/>
      <c r="F629" s="5"/>
      <c r="G629" s="5"/>
      <c r="H629" s="5" t="s">
        <v>70</v>
      </c>
      <c r="I629" s="5" t="s">
        <v>34</v>
      </c>
      <c r="J629" s="16" t="s">
        <v>3423</v>
      </c>
      <c r="K629" s="8"/>
      <c r="L629" s="8"/>
      <c r="M629" s="193">
        <v>43678</v>
      </c>
      <c r="N629" s="193"/>
      <c r="O629" s="193">
        <v>43819</v>
      </c>
      <c r="P629" s="5">
        <v>12</v>
      </c>
      <c r="Q629" s="7" t="s">
        <v>108</v>
      </c>
      <c r="R629" s="18">
        <v>3000</v>
      </c>
      <c r="S629" s="5" t="s">
        <v>909</v>
      </c>
      <c r="T629" s="157" t="s">
        <v>54</v>
      </c>
      <c r="U629" s="4"/>
      <c r="V629" s="4"/>
      <c r="W629" s="5" t="s">
        <v>113</v>
      </c>
      <c r="X629" s="5" t="s">
        <v>1053</v>
      </c>
      <c r="Y629" s="5" t="s">
        <v>457</v>
      </c>
      <c r="Z629" s="5"/>
      <c r="AA629" s="5"/>
      <c r="AB629" s="193">
        <v>43817</v>
      </c>
      <c r="AC629" s="35" t="s">
        <v>3424</v>
      </c>
      <c r="AE629" s="158"/>
    </row>
    <row r="630" spans="1:51" s="1" customFormat="1" ht="43.2">
      <c r="A630" s="888"/>
      <c r="B630" s="141" t="s">
        <v>28</v>
      </c>
      <c r="C630" s="67"/>
      <c r="D630" s="9" t="s">
        <v>29</v>
      </c>
      <c r="E630" s="9"/>
      <c r="F630" s="9"/>
      <c r="G630" s="9"/>
      <c r="H630" s="5" t="s">
        <v>70</v>
      </c>
      <c r="I630" s="5" t="s">
        <v>34</v>
      </c>
      <c r="J630" s="16" t="s">
        <v>3425</v>
      </c>
      <c r="K630" s="16"/>
      <c r="L630" s="16"/>
      <c r="M630" s="176">
        <v>43767</v>
      </c>
      <c r="N630" s="176"/>
      <c r="O630" s="176">
        <v>43819</v>
      </c>
      <c r="P630" s="12">
        <v>36</v>
      </c>
      <c r="Q630" s="25" t="s">
        <v>488</v>
      </c>
      <c r="R630" s="18">
        <v>300000</v>
      </c>
      <c r="S630" s="5" t="s">
        <v>1163</v>
      </c>
      <c r="T630" s="165" t="s">
        <v>36</v>
      </c>
      <c r="U630" s="10"/>
      <c r="V630" s="10"/>
      <c r="W630" s="12" t="s">
        <v>1015</v>
      </c>
      <c r="X630" s="9" t="s">
        <v>2689</v>
      </c>
      <c r="Y630" s="5" t="s">
        <v>457</v>
      </c>
      <c r="Z630" s="5"/>
      <c r="AA630" s="5"/>
      <c r="AB630" s="193">
        <v>43801</v>
      </c>
      <c r="AC630" s="8" t="s">
        <v>3426</v>
      </c>
      <c r="AD630" s="151"/>
      <c r="AE630" s="215">
        <v>100000</v>
      </c>
    </row>
    <row r="631" spans="1:51" s="1" customFormat="1" ht="72">
      <c r="A631" s="889"/>
      <c r="B631" s="57"/>
      <c r="C631" s="67"/>
      <c r="D631" s="5" t="s">
        <v>29</v>
      </c>
      <c r="E631" s="5"/>
      <c r="F631" s="5"/>
      <c r="G631" s="5"/>
      <c r="H631" s="5" t="s">
        <v>81</v>
      </c>
      <c r="I631" s="5" t="s">
        <v>34</v>
      </c>
      <c r="J631" s="16" t="s">
        <v>3427</v>
      </c>
      <c r="K631" s="8"/>
      <c r="L631" s="8"/>
      <c r="M631" s="193">
        <v>43770</v>
      </c>
      <c r="N631" s="193"/>
      <c r="O631" s="193">
        <v>43823</v>
      </c>
      <c r="P631" s="5">
        <v>18</v>
      </c>
      <c r="Q631" s="26" t="s">
        <v>1127</v>
      </c>
      <c r="R631" s="18">
        <v>126000</v>
      </c>
      <c r="S631" s="30" t="s">
        <v>217</v>
      </c>
      <c r="T631" s="163" t="s">
        <v>35</v>
      </c>
      <c r="U631" s="50" t="s">
        <v>35</v>
      </c>
      <c r="V631" s="50"/>
      <c r="W631" s="5" t="s">
        <v>3428</v>
      </c>
      <c r="X631" s="5" t="s">
        <v>2919</v>
      </c>
      <c r="Y631" s="5" t="s">
        <v>39</v>
      </c>
      <c r="Z631" s="5"/>
      <c r="AA631" s="26"/>
      <c r="AB631" s="42" t="s">
        <v>3429</v>
      </c>
      <c r="AC631" s="8" t="s">
        <v>3430</v>
      </c>
      <c r="AD631" s="70" t="s">
        <v>615</v>
      </c>
      <c r="AE631" s="158"/>
    </row>
    <row r="632" spans="1:51" s="1" customFormat="1" ht="86.4" customHeight="1">
      <c r="A632" s="888"/>
      <c r="B632" s="57"/>
      <c r="C632" s="1455"/>
      <c r="D632" s="9" t="s">
        <v>29</v>
      </c>
      <c r="E632" s="9"/>
      <c r="F632" s="9"/>
      <c r="G632" s="9"/>
      <c r="H632" s="9" t="s">
        <v>70</v>
      </c>
      <c r="I632" s="9" t="s">
        <v>34</v>
      </c>
      <c r="J632" s="16" t="s">
        <v>3431</v>
      </c>
      <c r="K632" s="16"/>
      <c r="L632" s="16"/>
      <c r="M632" s="46">
        <v>43767</v>
      </c>
      <c r="N632" s="46"/>
      <c r="O632" s="46">
        <v>43826</v>
      </c>
      <c r="P632" s="15">
        <v>36</v>
      </c>
      <c r="Q632" s="258" t="s">
        <v>488</v>
      </c>
      <c r="R632" s="18">
        <v>60300</v>
      </c>
      <c r="S632" s="1335" t="s">
        <v>163</v>
      </c>
      <c r="T632" s="165" t="s">
        <v>36</v>
      </c>
      <c r="U632" s="48" t="s">
        <v>37</v>
      </c>
      <c r="V632" s="48"/>
      <c r="W632" s="15" t="s">
        <v>1015</v>
      </c>
      <c r="X632" s="5" t="s">
        <v>2689</v>
      </c>
      <c r="Y632" s="5" t="s">
        <v>457</v>
      </c>
      <c r="Z632" s="5"/>
      <c r="AA632" s="5"/>
      <c r="AB632" s="193" t="s">
        <v>1082</v>
      </c>
      <c r="AC632" s="6" t="s">
        <v>1268</v>
      </c>
      <c r="AD632" s="70" t="s">
        <v>3026</v>
      </c>
      <c r="AE632" s="221">
        <v>20100</v>
      </c>
    </row>
    <row r="633" spans="1:51" s="1" customFormat="1" ht="43.35" customHeight="1">
      <c r="A633" s="888"/>
      <c r="B633" s="141" t="s">
        <v>28</v>
      </c>
      <c r="C633" s="67" t="s">
        <v>585</v>
      </c>
      <c r="D633" s="5" t="s">
        <v>29</v>
      </c>
      <c r="E633" s="5"/>
      <c r="F633" s="5"/>
      <c r="G633" s="5"/>
      <c r="H633" s="5" t="s">
        <v>70</v>
      </c>
      <c r="I633" s="5" t="s">
        <v>34</v>
      </c>
      <c r="J633" s="16" t="s">
        <v>3432</v>
      </c>
      <c r="K633" s="16"/>
      <c r="L633" s="16"/>
      <c r="M633" s="1429">
        <v>43101</v>
      </c>
      <c r="N633" s="1429"/>
      <c r="O633" s="1429">
        <v>43830</v>
      </c>
      <c r="P633" s="12">
        <v>120</v>
      </c>
      <c r="Q633" s="7" t="s">
        <v>1344</v>
      </c>
      <c r="R633" s="18">
        <v>595883.89</v>
      </c>
      <c r="S633" s="5" t="s">
        <v>98</v>
      </c>
      <c r="T633" s="27" t="s">
        <v>54</v>
      </c>
      <c r="U633" s="4"/>
      <c r="V633" s="4"/>
      <c r="W633" s="5" t="s">
        <v>3433</v>
      </c>
      <c r="X633" s="5" t="s">
        <v>1091</v>
      </c>
      <c r="Y633" s="5" t="s">
        <v>457</v>
      </c>
      <c r="Z633" s="5"/>
      <c r="AA633" s="5"/>
      <c r="AB633" s="193">
        <v>43780</v>
      </c>
      <c r="AC633" s="8" t="s">
        <v>3434</v>
      </c>
      <c r="AE633" s="158" t="s">
        <v>3435</v>
      </c>
    </row>
    <row r="634" spans="1:51" s="1" customFormat="1" ht="43.35" customHeight="1">
      <c r="A634" s="888"/>
      <c r="B634" s="141" t="s">
        <v>28</v>
      </c>
      <c r="C634" s="67" t="s">
        <v>3436</v>
      </c>
      <c r="D634" s="6" t="s">
        <v>29</v>
      </c>
      <c r="E634" s="6"/>
      <c r="F634" s="6"/>
      <c r="G634" s="6"/>
      <c r="H634" s="5" t="s">
        <v>70</v>
      </c>
      <c r="I634" s="5" t="s">
        <v>34</v>
      </c>
      <c r="J634" s="16" t="s">
        <v>3437</v>
      </c>
      <c r="K634" s="8"/>
      <c r="L634" s="8"/>
      <c r="M634" s="193">
        <v>43132</v>
      </c>
      <c r="N634" s="193"/>
      <c r="O634" s="193">
        <v>43831</v>
      </c>
      <c r="P634" s="5">
        <v>48</v>
      </c>
      <c r="Q634" s="7" t="s">
        <v>648</v>
      </c>
      <c r="R634" s="18">
        <v>90000</v>
      </c>
      <c r="S634" s="5" t="s">
        <v>163</v>
      </c>
      <c r="T634" s="157" t="s">
        <v>54</v>
      </c>
      <c r="U634" s="4"/>
      <c r="V634" s="4"/>
      <c r="W634" s="5" t="s">
        <v>244</v>
      </c>
      <c r="X634" s="9" t="s">
        <v>184</v>
      </c>
      <c r="Y634" s="5" t="s">
        <v>457</v>
      </c>
      <c r="Z634" s="5"/>
      <c r="AA634" s="5"/>
      <c r="AB634" s="193">
        <v>43598</v>
      </c>
      <c r="AC634" s="32" t="s">
        <v>3438</v>
      </c>
      <c r="AD634"/>
      <c r="AE634" s="222">
        <v>22142.5</v>
      </c>
    </row>
    <row r="635" spans="1:51" s="1" customFormat="1" ht="43.2">
      <c r="A635" s="888"/>
      <c r="B635" s="420" t="s">
        <v>145</v>
      </c>
      <c r="C635" s="426" t="s">
        <v>3439</v>
      </c>
      <c r="D635" s="360" t="s">
        <v>92</v>
      </c>
      <c r="E635" s="360"/>
      <c r="F635" s="360"/>
      <c r="G635" s="360"/>
      <c r="H635" s="360" t="s">
        <v>148</v>
      </c>
      <c r="I635" s="360" t="s">
        <v>34</v>
      </c>
      <c r="J635" s="1029" t="s">
        <v>1241</v>
      </c>
      <c r="K635" s="360"/>
      <c r="L635" s="374">
        <v>14</v>
      </c>
      <c r="M635" s="379">
        <f>IFERROR(EDATE(N635,-3),"Invalid procurement method or date entered")</f>
        <v>43313</v>
      </c>
      <c r="N635" s="375">
        <f>IFERROR(EDATE(O635,-L635),"Invalid procurement method or date entered")</f>
        <v>43405</v>
      </c>
      <c r="O635" s="335">
        <v>43831</v>
      </c>
      <c r="P635" s="361">
        <v>120</v>
      </c>
      <c r="Q635" s="361" t="s">
        <v>3440</v>
      </c>
      <c r="R635" s="384"/>
      <c r="S635" s="362" t="s">
        <v>607</v>
      </c>
      <c r="T635" s="434" t="s">
        <v>41</v>
      </c>
      <c r="U635" s="370">
        <v>43438</v>
      </c>
      <c r="V635" s="370"/>
      <c r="W635" s="360" t="s">
        <v>1247</v>
      </c>
      <c r="X635" s="360" t="s">
        <v>254</v>
      </c>
      <c r="Y635" s="360" t="s">
        <v>39</v>
      </c>
      <c r="Z635" s="360"/>
      <c r="AA635" s="95" t="s">
        <v>80</v>
      </c>
      <c r="AB635" s="364" t="s">
        <v>41</v>
      </c>
      <c r="AC635" s="365">
        <v>44243</v>
      </c>
      <c r="AD635" s="452"/>
      <c r="AE635" s="444"/>
    </row>
    <row r="636" spans="1:51" s="1" customFormat="1" ht="14.4" customHeight="1">
      <c r="A636" s="1364"/>
      <c r="B636" s="141" t="s">
        <v>28</v>
      </c>
      <c r="C636" s="67" t="s">
        <v>43</v>
      </c>
      <c r="D636" s="5" t="s">
        <v>29</v>
      </c>
      <c r="E636" s="5"/>
      <c r="F636" s="5"/>
      <c r="G636" s="5"/>
      <c r="H636" s="5" t="s">
        <v>70</v>
      </c>
      <c r="I636" s="5" t="s">
        <v>64</v>
      </c>
      <c r="J636" s="16" t="s">
        <v>3441</v>
      </c>
      <c r="K636" s="8"/>
      <c r="L636" s="8"/>
      <c r="M636" s="193">
        <v>43313</v>
      </c>
      <c r="N636" s="193"/>
      <c r="O636" s="193">
        <v>43831</v>
      </c>
      <c r="P636" s="5">
        <v>84</v>
      </c>
      <c r="Q636" s="25" t="s">
        <v>712</v>
      </c>
      <c r="R636" s="18">
        <v>850000</v>
      </c>
      <c r="S636" s="30" t="s">
        <v>66</v>
      </c>
      <c r="T636" s="157" t="s">
        <v>54</v>
      </c>
      <c r="U636" s="11" t="s">
        <v>3104</v>
      </c>
      <c r="V636" s="11"/>
      <c r="W636" s="5" t="s">
        <v>3442</v>
      </c>
      <c r="X636" s="5" t="s">
        <v>2919</v>
      </c>
      <c r="Y636" s="5" t="s">
        <v>457</v>
      </c>
      <c r="Z636" s="5"/>
      <c r="AA636" s="5"/>
      <c r="AB636" s="193">
        <v>43915</v>
      </c>
      <c r="AC636" s="8" t="s">
        <v>1246</v>
      </c>
      <c r="AD636" s="70" t="s">
        <v>615</v>
      </c>
      <c r="AE636" s="158">
        <v>121428</v>
      </c>
    </row>
    <row r="637" spans="1:51" s="1" customFormat="1" ht="57.6">
      <c r="A637" s="888"/>
      <c r="B637" s="141" t="s">
        <v>28</v>
      </c>
      <c r="C637" s="67" t="s">
        <v>43</v>
      </c>
      <c r="D637" s="5" t="s">
        <v>29</v>
      </c>
      <c r="E637" s="5"/>
      <c r="F637" s="5"/>
      <c r="G637" s="5"/>
      <c r="H637" s="5" t="s">
        <v>70</v>
      </c>
      <c r="I637" s="5" t="s">
        <v>64</v>
      </c>
      <c r="J637" s="16" t="s">
        <v>3441</v>
      </c>
      <c r="K637" s="8"/>
      <c r="L637" s="8"/>
      <c r="M637" s="193">
        <v>43313</v>
      </c>
      <c r="N637" s="193"/>
      <c r="O637" s="193">
        <v>43831</v>
      </c>
      <c r="P637" s="5">
        <v>84</v>
      </c>
      <c r="Q637" s="25" t="s">
        <v>712</v>
      </c>
      <c r="R637" s="18">
        <v>850000</v>
      </c>
      <c r="S637" s="30" t="s">
        <v>66</v>
      </c>
      <c r="T637" s="157" t="s">
        <v>54</v>
      </c>
      <c r="U637" s="11" t="s">
        <v>3104</v>
      </c>
      <c r="V637" s="11"/>
      <c r="W637" s="5" t="s">
        <v>3442</v>
      </c>
      <c r="X637" s="5" t="s">
        <v>2919</v>
      </c>
      <c r="Y637" s="5" t="s">
        <v>457</v>
      </c>
      <c r="Z637" s="5"/>
      <c r="AA637" s="26"/>
      <c r="AB637" s="42">
        <v>43915</v>
      </c>
      <c r="AC637" s="8" t="s">
        <v>1246</v>
      </c>
      <c r="AD637" s="70" t="s">
        <v>615</v>
      </c>
      <c r="AE637" s="158">
        <v>121428</v>
      </c>
    </row>
    <row r="638" spans="1:51" s="1" customFormat="1" ht="144">
      <c r="A638" s="888"/>
      <c r="B638" s="141" t="s">
        <v>28</v>
      </c>
      <c r="C638" s="67" t="s">
        <v>3443</v>
      </c>
      <c r="D638" s="5" t="s">
        <v>29</v>
      </c>
      <c r="E638" s="5"/>
      <c r="F638" s="5"/>
      <c r="G638" s="5"/>
      <c r="H638" s="5" t="s">
        <v>70</v>
      </c>
      <c r="I638" s="5" t="s">
        <v>34</v>
      </c>
      <c r="J638" s="16" t="s">
        <v>3444</v>
      </c>
      <c r="K638" s="16"/>
      <c r="L638" s="16"/>
      <c r="M638" s="176">
        <v>43497</v>
      </c>
      <c r="N638" s="176"/>
      <c r="O638" s="176">
        <v>43831</v>
      </c>
      <c r="P638" s="12">
        <v>36</v>
      </c>
      <c r="Q638" s="25" t="s">
        <v>488</v>
      </c>
      <c r="R638" s="18">
        <v>4500000</v>
      </c>
      <c r="S638" s="30" t="s">
        <v>1163</v>
      </c>
      <c r="T638" s="26" t="s">
        <v>41</v>
      </c>
      <c r="U638" s="176">
        <v>43623</v>
      </c>
      <c r="V638" s="176"/>
      <c r="W638" s="5" t="s">
        <v>3445</v>
      </c>
      <c r="X638" s="5" t="s">
        <v>1053</v>
      </c>
      <c r="Y638" s="5" t="s">
        <v>457</v>
      </c>
      <c r="Z638" s="5"/>
      <c r="AA638" s="26"/>
      <c r="AB638" s="42">
        <v>43924</v>
      </c>
      <c r="AC638" s="35" t="s">
        <v>1246</v>
      </c>
      <c r="AD638" s="70" t="s">
        <v>3026</v>
      </c>
      <c r="AE638" s="215"/>
      <c r="AF638" s="93"/>
    </row>
    <row r="639" spans="1:51" s="1" customFormat="1" ht="29.1" customHeight="1">
      <c r="A639" s="888"/>
      <c r="B639" s="141" t="s">
        <v>28</v>
      </c>
      <c r="C639" s="67" t="s">
        <v>3446</v>
      </c>
      <c r="D639" s="5" t="s">
        <v>29</v>
      </c>
      <c r="E639" s="5"/>
      <c r="F639" s="5"/>
      <c r="G639" s="5"/>
      <c r="H639" s="5" t="s">
        <v>70</v>
      </c>
      <c r="I639" s="5" t="s">
        <v>34</v>
      </c>
      <c r="J639" s="16" t="s">
        <v>1089</v>
      </c>
      <c r="K639" s="16"/>
      <c r="L639" s="16"/>
      <c r="M639" s="14">
        <v>43739</v>
      </c>
      <c r="N639" s="14"/>
      <c r="O639" s="14">
        <v>43831</v>
      </c>
      <c r="P639" s="12">
        <v>12</v>
      </c>
      <c r="Q639" s="7" t="s">
        <v>108</v>
      </c>
      <c r="R639" s="18">
        <v>3530.4</v>
      </c>
      <c r="S639" s="5" t="s">
        <v>909</v>
      </c>
      <c r="T639" s="26" t="s">
        <v>54</v>
      </c>
      <c r="U639" s="4"/>
      <c r="V639" s="4"/>
      <c r="W639" s="5" t="s">
        <v>1090</v>
      </c>
      <c r="X639" s="5" t="s">
        <v>1053</v>
      </c>
      <c r="Y639" s="5" t="s">
        <v>457</v>
      </c>
      <c r="Z639" s="5"/>
      <c r="AA639" s="12"/>
      <c r="AB639" s="193">
        <v>43839</v>
      </c>
      <c r="AC639" s="8" t="s">
        <v>2813</v>
      </c>
      <c r="AE639" s="214">
        <v>3530</v>
      </c>
    </row>
    <row r="640" spans="1:51" s="1" customFormat="1" ht="43.35" customHeight="1">
      <c r="A640" s="852"/>
      <c r="B640" s="713" t="s">
        <v>48</v>
      </c>
      <c r="C640" s="720" t="s">
        <v>125</v>
      </c>
      <c r="D640" s="466" t="s">
        <v>60</v>
      </c>
      <c r="E640" s="466"/>
      <c r="F640" s="466"/>
      <c r="G640" s="466"/>
      <c r="H640" s="466" t="s">
        <v>127</v>
      </c>
      <c r="I640" s="474" t="s">
        <v>34</v>
      </c>
      <c r="J640" s="1024" t="s">
        <v>2013</v>
      </c>
      <c r="K640" s="467"/>
      <c r="L640" s="485">
        <v>43739</v>
      </c>
      <c r="M640" s="485"/>
      <c r="N640" s="485"/>
      <c r="O640" s="485">
        <v>43831</v>
      </c>
      <c r="P640" s="471" t="s">
        <v>125</v>
      </c>
      <c r="Q640" s="471" t="s">
        <v>35</v>
      </c>
      <c r="R640" s="542" t="s">
        <v>125</v>
      </c>
      <c r="S640" s="478" t="s">
        <v>125</v>
      </c>
      <c r="T640" s="803" t="s">
        <v>125</v>
      </c>
      <c r="U640" s="470" t="s">
        <v>125</v>
      </c>
      <c r="V640" s="470"/>
      <c r="W640" s="474" t="s">
        <v>834</v>
      </c>
      <c r="X640" s="114"/>
      <c r="Y640" s="114"/>
      <c r="Z640" s="114"/>
      <c r="AA640" s="114"/>
      <c r="AB640" s="114"/>
      <c r="AC640" s="114"/>
      <c r="AD640"/>
      <c r="AE640" s="180"/>
    </row>
    <row r="641" spans="1:51" s="1" customFormat="1" ht="43.35" customHeight="1">
      <c r="A641" s="852"/>
      <c r="B641" s="713" t="s">
        <v>48</v>
      </c>
      <c r="C641" s="720" t="s">
        <v>2016</v>
      </c>
      <c r="D641" s="466" t="s">
        <v>60</v>
      </c>
      <c r="E641" s="466"/>
      <c r="F641" s="466"/>
      <c r="G641" s="466"/>
      <c r="H641" s="466" t="s">
        <v>127</v>
      </c>
      <c r="I641" s="474" t="s">
        <v>34</v>
      </c>
      <c r="J641" s="1024" t="s">
        <v>2017</v>
      </c>
      <c r="K641" s="467"/>
      <c r="L641" s="485">
        <v>43789</v>
      </c>
      <c r="M641" s="485"/>
      <c r="N641" s="485"/>
      <c r="O641" s="485">
        <v>43831</v>
      </c>
      <c r="P641" s="471">
        <v>48</v>
      </c>
      <c r="Q641" s="471">
        <v>48</v>
      </c>
      <c r="R641" s="542">
        <v>50000</v>
      </c>
      <c r="S641" s="478" t="s">
        <v>163</v>
      </c>
      <c r="T641" s="803" t="s">
        <v>36</v>
      </c>
      <c r="U641" s="470" t="s">
        <v>100</v>
      </c>
      <c r="V641" s="470"/>
      <c r="W641" s="474" t="s">
        <v>1772</v>
      </c>
      <c r="X641" s="114"/>
      <c r="Y641" s="114"/>
      <c r="Z641" s="114"/>
      <c r="AA641" s="114"/>
      <c r="AB641" s="114"/>
      <c r="AC641" s="114"/>
      <c r="AD641"/>
      <c r="AE641" s="180"/>
    </row>
    <row r="642" spans="1:51" s="1" customFormat="1" ht="101.1" customHeight="1">
      <c r="A642" s="852"/>
      <c r="B642" s="713" t="s">
        <v>48</v>
      </c>
      <c r="C642" s="722"/>
      <c r="D642" s="466" t="s">
        <v>29</v>
      </c>
      <c r="E642" s="466"/>
      <c r="F642" s="466"/>
      <c r="G642" s="466"/>
      <c r="H642" s="466" t="s">
        <v>49</v>
      </c>
      <c r="I642" s="474" t="s">
        <v>34</v>
      </c>
      <c r="J642" s="549" t="s">
        <v>1708</v>
      </c>
      <c r="K642" s="484"/>
      <c r="L642" s="545">
        <v>43617</v>
      </c>
      <c r="M642" s="545"/>
      <c r="N642" s="545"/>
      <c r="O642" s="540">
        <v>43832</v>
      </c>
      <c r="P642" s="471" t="s">
        <v>125</v>
      </c>
      <c r="Q642" s="471" t="s">
        <v>125</v>
      </c>
      <c r="R642" s="548" t="s">
        <v>125</v>
      </c>
      <c r="S642" s="478" t="s">
        <v>125</v>
      </c>
      <c r="T642" s="803" t="s">
        <v>125</v>
      </c>
      <c r="U642" s="470"/>
      <c r="V642" s="470"/>
      <c r="W642" s="474" t="s">
        <v>1709</v>
      </c>
      <c r="X642" s="114"/>
      <c r="Y642" s="114"/>
      <c r="Z642" s="114"/>
      <c r="AA642" s="114"/>
      <c r="AB642" s="114"/>
      <c r="AC642" s="114"/>
      <c r="AD642"/>
      <c r="AE642" s="180"/>
    </row>
    <row r="643" spans="1:51" s="1" customFormat="1" ht="43.35" customHeight="1">
      <c r="A643" s="852"/>
      <c r="B643" s="713" t="s">
        <v>48</v>
      </c>
      <c r="C643" s="722"/>
      <c r="D643" s="466" t="s">
        <v>29</v>
      </c>
      <c r="E643" s="466"/>
      <c r="F643" s="466"/>
      <c r="G643" s="466"/>
      <c r="H643" s="466" t="s">
        <v>49</v>
      </c>
      <c r="I643" s="474" t="s">
        <v>34</v>
      </c>
      <c r="J643" s="549" t="s">
        <v>1735</v>
      </c>
      <c r="K643" s="484"/>
      <c r="L643" s="555">
        <v>43617</v>
      </c>
      <c r="M643" s="555"/>
      <c r="N643" s="555"/>
      <c r="O643" s="470">
        <v>43832</v>
      </c>
      <c r="P643" s="471" t="s">
        <v>125</v>
      </c>
      <c r="Q643" s="471" t="s">
        <v>125</v>
      </c>
      <c r="R643" s="548" t="s">
        <v>125</v>
      </c>
      <c r="S643" s="478" t="s">
        <v>125</v>
      </c>
      <c r="T643" s="803" t="s">
        <v>125</v>
      </c>
      <c r="U643" s="470"/>
      <c r="V643" s="470"/>
      <c r="W643" s="474" t="s">
        <v>1709</v>
      </c>
      <c r="X643" s="114"/>
      <c r="Y643" s="114"/>
      <c r="Z643" s="114"/>
      <c r="AA643" s="114"/>
      <c r="AB643" s="114"/>
      <c r="AC643" s="114"/>
      <c r="AD643"/>
      <c r="AE643" s="180"/>
    </row>
    <row r="644" spans="1:51" s="1" customFormat="1" ht="43.35" customHeight="1">
      <c r="A644" s="852"/>
      <c r="B644" s="713" t="s">
        <v>48</v>
      </c>
      <c r="C644" s="720" t="s">
        <v>2004</v>
      </c>
      <c r="D644" s="466" t="s">
        <v>60</v>
      </c>
      <c r="E644" s="466"/>
      <c r="F644" s="466"/>
      <c r="G644" s="466"/>
      <c r="H644" s="466" t="s">
        <v>127</v>
      </c>
      <c r="I644" s="474" t="s">
        <v>34</v>
      </c>
      <c r="J644" s="1024" t="s">
        <v>2005</v>
      </c>
      <c r="K644" s="467"/>
      <c r="L644" s="485">
        <v>43709</v>
      </c>
      <c r="M644" s="485"/>
      <c r="N644" s="485"/>
      <c r="O644" s="485">
        <v>43832</v>
      </c>
      <c r="P644" s="485" t="s">
        <v>125</v>
      </c>
      <c r="Q644" s="485" t="s">
        <v>125</v>
      </c>
      <c r="R644" s="542">
        <v>80000</v>
      </c>
      <c r="S644" s="478" t="s">
        <v>1663</v>
      </c>
      <c r="T644" s="803" t="s">
        <v>36</v>
      </c>
      <c r="U644" s="470" t="s">
        <v>2006</v>
      </c>
      <c r="V644" s="470"/>
      <c r="W644" s="474" t="s">
        <v>1514</v>
      </c>
      <c r="X644" s="114"/>
      <c r="Y644" s="114"/>
      <c r="Z644" s="114"/>
      <c r="AA644" s="114"/>
      <c r="AB644" s="114"/>
      <c r="AC644" s="114"/>
      <c r="AD644"/>
      <c r="AE644" s="180"/>
    </row>
    <row r="645" spans="1:51" s="1" customFormat="1" ht="57.6">
      <c r="A645" s="852"/>
      <c r="B645" s="303"/>
      <c r="C645" s="67" t="s">
        <v>3447</v>
      </c>
      <c r="D645" s="5" t="s">
        <v>29</v>
      </c>
      <c r="E645" s="5"/>
      <c r="F645" s="5"/>
      <c r="G645" s="5"/>
      <c r="H645" s="5" t="s">
        <v>364</v>
      </c>
      <c r="I645" s="5" t="s">
        <v>34</v>
      </c>
      <c r="J645" s="16" t="s">
        <v>479</v>
      </c>
      <c r="K645" s="16"/>
      <c r="L645" s="5" t="e">
        <f>IF(OR(S645=#REF!,S645=#REF!,S645=#REF!,S645=#REF!,S645=#REF!,S645=#REF!,S645=#REF!,S645=#REF!),12,IF(OR(S645=#REF!,S645=#REF!,S645=#REF!,S645=#REF!,S645=#REF!,S645=#REF!,S645=#REF!),3,IF(S645=#REF!,1,IF(S645=#REF!,18,IF(OR(S645=#REF!,S645=#REF!,S645=#REF!,S645=#REF!,S645=#REF!),14,"Invalid proposed procurement method")))))</f>
        <v>#REF!</v>
      </c>
      <c r="M645" s="193">
        <f>IFERROR(EDATE($N645,-3),"Invalid procurement method or date entered")</f>
        <v>44066</v>
      </c>
      <c r="N645" s="176">
        <v>44158</v>
      </c>
      <c r="O645" s="176">
        <v>43834</v>
      </c>
      <c r="P645" s="1330">
        <v>36</v>
      </c>
      <c r="Q645" s="27">
        <v>36</v>
      </c>
      <c r="R645" s="39">
        <v>92000</v>
      </c>
      <c r="S645" s="200" t="s">
        <v>217</v>
      </c>
      <c r="T645" s="163" t="s">
        <v>54</v>
      </c>
      <c r="U645" s="50" t="s">
        <v>37</v>
      </c>
      <c r="V645" s="50"/>
      <c r="W645" s="5" t="s">
        <v>415</v>
      </c>
      <c r="X645" s="5" t="s">
        <v>94</v>
      </c>
      <c r="Y645" s="5" t="s">
        <v>457</v>
      </c>
      <c r="Z645" s="5"/>
      <c r="AA645" s="5"/>
      <c r="AB645" s="193" t="s">
        <v>1250</v>
      </c>
      <c r="AC645" s="1354" t="s">
        <v>3448</v>
      </c>
      <c r="AD645" s="70" t="s">
        <v>416</v>
      </c>
      <c r="AE645" s="215"/>
    </row>
    <row r="646" spans="1:51" s="1" customFormat="1" ht="43.35" customHeight="1">
      <c r="A646" s="852"/>
      <c r="B646" s="713" t="s">
        <v>48</v>
      </c>
      <c r="C646" s="720" t="s">
        <v>1950</v>
      </c>
      <c r="D646" s="466" t="s">
        <v>60</v>
      </c>
      <c r="E646" s="466"/>
      <c r="F646" s="466"/>
      <c r="G646" s="466"/>
      <c r="H646" s="466" t="s">
        <v>127</v>
      </c>
      <c r="I646" s="474" t="s">
        <v>34</v>
      </c>
      <c r="J646" s="1024" t="s">
        <v>1951</v>
      </c>
      <c r="K646" s="467"/>
      <c r="L646" s="485">
        <v>43805</v>
      </c>
      <c r="M646" s="485"/>
      <c r="N646" s="485"/>
      <c r="O646" s="485">
        <v>43836</v>
      </c>
      <c r="P646" s="485" t="s">
        <v>188</v>
      </c>
      <c r="Q646" s="770" t="s">
        <v>188</v>
      </c>
      <c r="R646" s="542">
        <v>6000</v>
      </c>
      <c r="S646" s="791" t="s">
        <v>1773</v>
      </c>
      <c r="T646" s="803" t="s">
        <v>465</v>
      </c>
      <c r="U646" s="470"/>
      <c r="V646" s="470"/>
      <c r="W646" s="488" t="s">
        <v>1133</v>
      </c>
      <c r="X646" s="114"/>
      <c r="Y646" s="114"/>
      <c r="Z646" s="114"/>
      <c r="AA646" s="114"/>
      <c r="AB646" s="114"/>
      <c r="AC646" s="114"/>
      <c r="AD646"/>
      <c r="AE646" s="180"/>
    </row>
    <row r="647" spans="1:51" s="1" customFormat="1" ht="129.6">
      <c r="A647" s="888"/>
      <c r="B647" s="141" t="s">
        <v>28</v>
      </c>
      <c r="C647" s="1340" t="s">
        <v>3449</v>
      </c>
      <c r="D647" s="5" t="s">
        <v>29</v>
      </c>
      <c r="E647" s="5"/>
      <c r="F647" s="5"/>
      <c r="G647" s="5"/>
      <c r="H647" s="5" t="s">
        <v>119</v>
      </c>
      <c r="I647" s="5" t="s">
        <v>34</v>
      </c>
      <c r="J647" s="1339" t="s">
        <v>1037</v>
      </c>
      <c r="K647" s="1327"/>
      <c r="L647" s="1327"/>
      <c r="M647" s="1337">
        <v>43831</v>
      </c>
      <c r="N647" s="1337"/>
      <c r="O647" s="1337">
        <v>43843</v>
      </c>
      <c r="P647" s="12">
        <v>72</v>
      </c>
      <c r="Q647" s="1332">
        <v>72</v>
      </c>
      <c r="R647" s="19">
        <v>102296.4</v>
      </c>
      <c r="S647" s="200" t="s">
        <v>109</v>
      </c>
      <c r="T647" s="163" t="s">
        <v>36</v>
      </c>
      <c r="U647" s="4"/>
      <c r="V647" s="4"/>
      <c r="W647" s="5" t="s">
        <v>89</v>
      </c>
      <c r="X647" s="1335" t="s">
        <v>1091</v>
      </c>
      <c r="Y647" s="5" t="s">
        <v>457</v>
      </c>
      <c r="Z647" s="5"/>
      <c r="AA647" s="1340"/>
      <c r="AB647" s="42">
        <v>43861</v>
      </c>
      <c r="AC647" s="1327" t="s">
        <v>3450</v>
      </c>
      <c r="AD647" s="150"/>
      <c r="AE647" s="1456">
        <v>17049.400000000001</v>
      </c>
    </row>
    <row r="648" spans="1:51" s="1" customFormat="1" ht="28.8">
      <c r="A648" s="887"/>
      <c r="B648" s="141" t="s">
        <v>28</v>
      </c>
      <c r="C648" s="67"/>
      <c r="D648" s="9" t="s">
        <v>29</v>
      </c>
      <c r="E648" s="9"/>
      <c r="F648" s="9"/>
      <c r="G648" s="9"/>
      <c r="H648" s="5" t="s">
        <v>70</v>
      </c>
      <c r="I648" s="12" t="s">
        <v>34</v>
      </c>
      <c r="J648" s="16" t="s">
        <v>2749</v>
      </c>
      <c r="K648" s="16"/>
      <c r="L648" s="16"/>
      <c r="M648" s="176">
        <v>43678</v>
      </c>
      <c r="N648" s="176"/>
      <c r="O648" s="176">
        <v>43849</v>
      </c>
      <c r="P648" s="12">
        <v>12</v>
      </c>
      <c r="Q648" s="7" t="s">
        <v>108</v>
      </c>
      <c r="R648" s="18">
        <v>6340</v>
      </c>
      <c r="S648" s="5" t="s">
        <v>35</v>
      </c>
      <c r="T648" s="26" t="s">
        <v>54</v>
      </c>
      <c r="U648" s="4"/>
      <c r="V648" s="4"/>
      <c r="W648" s="12" t="s">
        <v>301</v>
      </c>
      <c r="X648" s="5" t="s">
        <v>184</v>
      </c>
      <c r="Y648" s="5" t="s">
        <v>39</v>
      </c>
      <c r="Z648" s="5"/>
      <c r="AA648" s="5"/>
      <c r="AB648" s="193">
        <v>43728</v>
      </c>
      <c r="AC648" s="8" t="s">
        <v>3451</v>
      </c>
      <c r="AD648" s="34"/>
      <c r="AE648" s="215"/>
    </row>
    <row r="649" spans="1:51" s="1" customFormat="1" ht="43.35" customHeight="1">
      <c r="A649" s="852"/>
      <c r="B649" s="303"/>
      <c r="C649" s="1340" t="s">
        <v>3452</v>
      </c>
      <c r="D649" s="43" t="s">
        <v>29</v>
      </c>
      <c r="E649" s="43"/>
      <c r="F649" s="43"/>
      <c r="G649" s="43"/>
      <c r="H649" s="1335" t="s">
        <v>364</v>
      </c>
      <c r="I649" s="1335" t="s">
        <v>34</v>
      </c>
      <c r="J649" s="1339" t="s">
        <v>3453</v>
      </c>
      <c r="K649" s="1327"/>
      <c r="L649" s="5" t="e">
        <f>IF(OR(S649=#REF!,S649=#REF!,S649=#REF!,S649=#REF!,S649=#REF!,S649=#REF!,S649=#REF!,S649=#REF!),12,IF(OR(S649=#REF!,S649=#REF!,S649=#REF!,S649=#REF!,S649=#REF!,S649=#REF!,S649=#REF!),3,IF(S649=#REF!,1,IF(S649=#REF!,18,IF(OR(S649=#REF!,S649=#REF!,S649=#REF!,S649=#REF!,S649=#REF!),14,"Invalid proposed procurement method")))))</f>
        <v>#REF!</v>
      </c>
      <c r="M649" s="193">
        <f>IFERROR(EDATE($N649,-3),"Invalid procurement method or date entered")</f>
        <v>44066</v>
      </c>
      <c r="N649" s="1337">
        <v>44158</v>
      </c>
      <c r="O649" s="1337">
        <v>43850</v>
      </c>
      <c r="P649" s="1335">
        <v>28</v>
      </c>
      <c r="Q649" s="1335">
        <v>28</v>
      </c>
      <c r="R649" s="38">
        <v>9000</v>
      </c>
      <c r="S649" s="1335" t="s">
        <v>909</v>
      </c>
      <c r="T649" s="65" t="s">
        <v>54</v>
      </c>
      <c r="U649" s="43" t="s">
        <v>37</v>
      </c>
      <c r="V649" s="43"/>
      <c r="W649" s="1330" t="s">
        <v>1309</v>
      </c>
      <c r="X649" s="1330" t="s">
        <v>94</v>
      </c>
      <c r="Y649" s="66" t="s">
        <v>457</v>
      </c>
      <c r="Z649" s="66"/>
      <c r="AA649" s="5" t="s">
        <v>41</v>
      </c>
      <c r="AB649" s="193" t="s">
        <v>1250</v>
      </c>
      <c r="AC649" s="1327" t="s">
        <v>3454</v>
      </c>
      <c r="AD649" s="1356" t="s">
        <v>134</v>
      </c>
      <c r="AE649" s="1352"/>
    </row>
    <row r="650" spans="1:51" s="283" customFormat="1" ht="52.8">
      <c r="A650" s="852"/>
      <c r="B650" s="713" t="s">
        <v>48</v>
      </c>
      <c r="C650" s="720" t="s">
        <v>1948</v>
      </c>
      <c r="D650" s="466" t="s">
        <v>60</v>
      </c>
      <c r="E650" s="466"/>
      <c r="F650" s="466"/>
      <c r="G650" s="466"/>
      <c r="H650" s="466" t="s">
        <v>127</v>
      </c>
      <c r="I650" s="474" t="s">
        <v>34</v>
      </c>
      <c r="J650" s="1024" t="s">
        <v>1949</v>
      </c>
      <c r="K650" s="467"/>
      <c r="L650" s="485">
        <v>43752</v>
      </c>
      <c r="M650" s="485"/>
      <c r="N650" s="485"/>
      <c r="O650" s="485">
        <v>43850</v>
      </c>
      <c r="P650" s="471">
        <v>5</v>
      </c>
      <c r="Q650" s="471">
        <v>5</v>
      </c>
      <c r="R650" s="542">
        <v>500000</v>
      </c>
      <c r="S650" s="478" t="s">
        <v>1663</v>
      </c>
      <c r="T650" s="803" t="s">
        <v>144</v>
      </c>
      <c r="U650" s="470"/>
      <c r="V650" s="470"/>
      <c r="W650" s="488" t="s">
        <v>1133</v>
      </c>
      <c r="X650" s="114"/>
      <c r="Y650" s="114"/>
      <c r="Z650" s="114"/>
      <c r="AA650" s="114"/>
      <c r="AB650" s="114"/>
      <c r="AC650" s="114"/>
      <c r="AD650"/>
      <c r="AE650" s="180"/>
      <c r="AF650" s="1"/>
      <c r="AG650" s="1358"/>
      <c r="AH650" s="1358"/>
      <c r="AI650" s="1358"/>
      <c r="AJ650" s="1358"/>
      <c r="AK650" s="1358"/>
      <c r="AL650" s="1358"/>
      <c r="AM650" s="1358"/>
      <c r="AN650" s="1358"/>
      <c r="AO650" s="1358"/>
      <c r="AP650" s="1358"/>
      <c r="AQ650" s="1358"/>
      <c r="AR650" s="1358"/>
      <c r="AS650" s="1358"/>
      <c r="AT650" s="1358"/>
      <c r="AU650" s="1358"/>
      <c r="AV650" s="1358"/>
      <c r="AW650" s="1358"/>
      <c r="AX650" s="1358"/>
      <c r="AY650" s="1358"/>
    </row>
    <row r="651" spans="1:51" s="283" customFormat="1" ht="52.8">
      <c r="A651" s="852"/>
      <c r="B651" s="713" t="s">
        <v>48</v>
      </c>
      <c r="C651" s="720" t="s">
        <v>125</v>
      </c>
      <c r="D651" s="466" t="s">
        <v>60</v>
      </c>
      <c r="E651" s="466"/>
      <c r="F651" s="466"/>
      <c r="G651" s="466"/>
      <c r="H651" s="466" t="s">
        <v>127</v>
      </c>
      <c r="I651" s="474" t="s">
        <v>34</v>
      </c>
      <c r="J651" s="1024" t="s">
        <v>2009</v>
      </c>
      <c r="K651" s="467"/>
      <c r="L651" s="485">
        <v>43833</v>
      </c>
      <c r="M651" s="485"/>
      <c r="N651" s="485"/>
      <c r="O651" s="485">
        <v>43854</v>
      </c>
      <c r="P651" s="485" t="s">
        <v>125</v>
      </c>
      <c r="Q651" s="485" t="s">
        <v>125</v>
      </c>
      <c r="R651" s="542">
        <v>50000</v>
      </c>
      <c r="S651" s="478" t="s">
        <v>2010</v>
      </c>
      <c r="T651" s="803" t="s">
        <v>36</v>
      </c>
      <c r="U651" s="470" t="s">
        <v>2011</v>
      </c>
      <c r="V651" s="470"/>
      <c r="W651" s="474" t="s">
        <v>2012</v>
      </c>
      <c r="X651" s="114"/>
      <c r="Y651" s="114"/>
      <c r="Z651" s="114"/>
      <c r="AA651" s="114"/>
      <c r="AB651" s="114"/>
      <c r="AC651" s="114"/>
      <c r="AD651"/>
      <c r="AE651" s="180"/>
      <c r="AF651" s="1"/>
      <c r="AG651" s="1358"/>
      <c r="AH651" s="1358"/>
      <c r="AI651" s="1358"/>
      <c r="AJ651" s="1358"/>
      <c r="AK651" s="1358"/>
      <c r="AL651" s="1358"/>
      <c r="AM651" s="1358"/>
      <c r="AN651" s="1358"/>
      <c r="AO651" s="1358"/>
      <c r="AP651" s="1358"/>
      <c r="AQ651" s="1358"/>
      <c r="AR651" s="1358"/>
      <c r="AS651" s="1358"/>
      <c r="AT651" s="1358"/>
      <c r="AU651" s="1358"/>
      <c r="AV651" s="1358"/>
      <c r="AW651" s="1358"/>
      <c r="AX651" s="1358"/>
      <c r="AY651" s="1358"/>
    </row>
    <row r="652" spans="1:51" s="1" customFormat="1" ht="101.1" customHeight="1">
      <c r="A652" s="888"/>
      <c r="B652" s="420" t="s">
        <v>145</v>
      </c>
      <c r="C652" s="426"/>
      <c r="D652" s="360" t="s">
        <v>82</v>
      </c>
      <c r="E652" s="360"/>
      <c r="F652" s="360"/>
      <c r="G652" s="360"/>
      <c r="H652" s="360" t="s">
        <v>148</v>
      </c>
      <c r="I652" s="360" t="s">
        <v>64</v>
      </c>
      <c r="J652" s="1029" t="s">
        <v>3455</v>
      </c>
      <c r="K652" s="360"/>
      <c r="L652" s="360"/>
      <c r="M652" s="335">
        <v>43739</v>
      </c>
      <c r="N652" s="360"/>
      <c r="O652" s="335">
        <v>43861</v>
      </c>
      <c r="P652" s="363">
        <v>12</v>
      </c>
      <c r="Q652" s="434">
        <v>12</v>
      </c>
      <c r="R652" s="362">
        <v>49000</v>
      </c>
      <c r="S652" s="363" t="s">
        <v>163</v>
      </c>
      <c r="T652" s="434" t="s">
        <v>54</v>
      </c>
      <c r="U652" s="363" t="s">
        <v>43</v>
      </c>
      <c r="V652" s="363"/>
      <c r="W652" s="360" t="s">
        <v>3279</v>
      </c>
      <c r="X652" s="360" t="s">
        <v>428</v>
      </c>
      <c r="Y652" s="360" t="s">
        <v>59</v>
      </c>
      <c r="Z652" s="360"/>
      <c r="AA652" s="364" t="s">
        <v>41</v>
      </c>
      <c r="AB652" s="365">
        <v>43861</v>
      </c>
      <c r="AC652" s="360" t="s">
        <v>3456</v>
      </c>
      <c r="AD652" s="369"/>
      <c r="AE652" s="441"/>
    </row>
    <row r="653" spans="1:51" s="1" customFormat="1" ht="57.6">
      <c r="A653" s="892"/>
      <c r="B653" s="57"/>
      <c r="C653" s="67" t="s">
        <v>3457</v>
      </c>
      <c r="D653" s="5" t="s">
        <v>29</v>
      </c>
      <c r="E653" s="5"/>
      <c r="F653" s="5"/>
      <c r="G653" s="5"/>
      <c r="H653" s="5" t="s">
        <v>364</v>
      </c>
      <c r="I653" s="5" t="s">
        <v>34</v>
      </c>
      <c r="J653" s="16" t="s">
        <v>479</v>
      </c>
      <c r="K653" s="16"/>
      <c r="L653" s="16"/>
      <c r="M653" s="176">
        <v>43788</v>
      </c>
      <c r="N653" s="176"/>
      <c r="O653" s="176">
        <v>43862</v>
      </c>
      <c r="P653" s="1330">
        <v>36</v>
      </c>
      <c r="Q653" s="27">
        <v>36</v>
      </c>
      <c r="R653" s="18">
        <v>92000</v>
      </c>
      <c r="S653" s="200" t="s">
        <v>217</v>
      </c>
      <c r="T653" s="163" t="s">
        <v>54</v>
      </c>
      <c r="U653" s="50" t="s">
        <v>37</v>
      </c>
      <c r="V653" s="50"/>
      <c r="W653" s="5" t="s">
        <v>415</v>
      </c>
      <c r="X653" s="5" t="s">
        <v>1053</v>
      </c>
      <c r="Y653" s="5" t="s">
        <v>457</v>
      </c>
      <c r="Z653" s="5"/>
      <c r="AA653" s="26"/>
      <c r="AB653" s="42" t="s">
        <v>3429</v>
      </c>
      <c r="AC653" s="8" t="s">
        <v>1268</v>
      </c>
      <c r="AD653" s="70" t="s">
        <v>416</v>
      </c>
      <c r="AE653" s="215"/>
      <c r="AF653" s="1360"/>
    </row>
    <row r="654" spans="1:51" s="282" customFormat="1" ht="43.2">
      <c r="A654" s="1364"/>
      <c r="B654" s="303"/>
      <c r="C654" s="721" t="s">
        <v>3267</v>
      </c>
      <c r="D654" s="9" t="s">
        <v>29</v>
      </c>
      <c r="E654" s="9"/>
      <c r="F654" s="9"/>
      <c r="G654" s="9"/>
      <c r="H654" s="5" t="s">
        <v>81</v>
      </c>
      <c r="I654" s="5" t="s">
        <v>64</v>
      </c>
      <c r="J654" s="16" t="s">
        <v>3258</v>
      </c>
      <c r="K654" s="8"/>
      <c r="L654" s="8"/>
      <c r="M654" s="193">
        <v>44136</v>
      </c>
      <c r="N654" s="193"/>
      <c r="O654" s="193">
        <v>43862</v>
      </c>
      <c r="P654" s="12">
        <v>12</v>
      </c>
      <c r="Q654" s="12" t="s">
        <v>3458</v>
      </c>
      <c r="R654" s="18">
        <v>100000</v>
      </c>
      <c r="S654" s="12" t="s">
        <v>66</v>
      </c>
      <c r="T654" s="161" t="s">
        <v>36</v>
      </c>
      <c r="U654" s="45" t="s">
        <v>37</v>
      </c>
      <c r="V654" s="45"/>
      <c r="W654" s="5" t="s">
        <v>3259</v>
      </c>
      <c r="X654" s="5" t="s">
        <v>1088</v>
      </c>
      <c r="Y654" s="5" t="s">
        <v>457</v>
      </c>
      <c r="Z654" s="5"/>
      <c r="AA654" s="5"/>
      <c r="AB654" s="193" t="s">
        <v>1082</v>
      </c>
      <c r="AC654" s="8" t="s">
        <v>3459</v>
      </c>
      <c r="AD654" s="70" t="s">
        <v>615</v>
      </c>
      <c r="AE654" s="158">
        <v>100000</v>
      </c>
      <c r="AF654" s="1360"/>
      <c r="AG654" s="1360"/>
      <c r="AH654" s="1360"/>
      <c r="AI654" s="1360"/>
      <c r="AJ654" s="1360"/>
      <c r="AK654" s="1360"/>
      <c r="AL654" s="1360"/>
      <c r="AM654" s="1360"/>
      <c r="AN654" s="1360"/>
      <c r="AO654" s="1360"/>
      <c r="AP654" s="1360"/>
      <c r="AQ654" s="1360"/>
      <c r="AR654" s="1360"/>
      <c r="AS654" s="1360"/>
      <c r="AT654" s="1360"/>
      <c r="AU654" s="1360"/>
      <c r="AV654" s="1360"/>
      <c r="AW654" s="1360"/>
      <c r="AX654" s="1360"/>
      <c r="AY654" s="1360"/>
    </row>
    <row r="655" spans="1:51" s="1" customFormat="1" ht="26.4">
      <c r="A655" s="852"/>
      <c r="B655" s="713" t="s">
        <v>48</v>
      </c>
      <c r="C655" s="720" t="s">
        <v>1904</v>
      </c>
      <c r="D655" s="466" t="s">
        <v>29</v>
      </c>
      <c r="E655" s="466"/>
      <c r="F655" s="466"/>
      <c r="G655" s="466"/>
      <c r="H655" s="466" t="s">
        <v>1834</v>
      </c>
      <c r="I655" s="474" t="s">
        <v>34</v>
      </c>
      <c r="J655" s="1024" t="s">
        <v>1905</v>
      </c>
      <c r="K655" s="467"/>
      <c r="L655" s="485">
        <v>43636</v>
      </c>
      <c r="M655" s="485"/>
      <c r="N655" s="485"/>
      <c r="O655" s="485">
        <v>43862</v>
      </c>
      <c r="P655" s="471">
        <v>4</v>
      </c>
      <c r="Q655" s="471" t="s">
        <v>157</v>
      </c>
      <c r="R655" s="542">
        <v>30800000</v>
      </c>
      <c r="S655" s="478" t="s">
        <v>98</v>
      </c>
      <c r="T655" s="803" t="s">
        <v>144</v>
      </c>
      <c r="U655" s="470"/>
      <c r="V655" s="470"/>
      <c r="W655" s="488" t="s">
        <v>1467</v>
      </c>
      <c r="X655" s="114"/>
      <c r="Y655" s="114"/>
      <c r="Z655" s="114"/>
      <c r="AA655" s="114"/>
      <c r="AB655" s="114"/>
      <c r="AC655" s="114"/>
      <c r="AD655"/>
      <c r="AE655" s="180"/>
      <c r="AF655" s="1360"/>
    </row>
    <row r="656" spans="1:51" s="1" customFormat="1" ht="52.8">
      <c r="A656" s="852"/>
      <c r="B656" s="713" t="s">
        <v>48</v>
      </c>
      <c r="C656" s="720" t="s">
        <v>2032</v>
      </c>
      <c r="D656" s="466" t="s">
        <v>60</v>
      </c>
      <c r="E656" s="466"/>
      <c r="F656" s="466"/>
      <c r="G656" s="466"/>
      <c r="H656" s="466" t="s">
        <v>127</v>
      </c>
      <c r="I656" s="474" t="s">
        <v>34</v>
      </c>
      <c r="J656" s="1024" t="s">
        <v>2033</v>
      </c>
      <c r="K656" s="467"/>
      <c r="L656" s="485">
        <v>43832</v>
      </c>
      <c r="M656" s="485"/>
      <c r="N656" s="485"/>
      <c r="O656" s="485">
        <v>43863</v>
      </c>
      <c r="P656" s="485" t="s">
        <v>125</v>
      </c>
      <c r="Q656" s="485" t="s">
        <v>125</v>
      </c>
      <c r="R656" s="542">
        <v>100000</v>
      </c>
      <c r="S656" s="478" t="s">
        <v>1663</v>
      </c>
      <c r="T656" s="803" t="s">
        <v>36</v>
      </c>
      <c r="U656" s="470" t="s">
        <v>2011</v>
      </c>
      <c r="V656" s="470"/>
      <c r="W656" s="474" t="s">
        <v>1514</v>
      </c>
      <c r="X656" s="114"/>
      <c r="Y656" s="114"/>
      <c r="Z656" s="114"/>
      <c r="AA656" s="114"/>
      <c r="AB656" s="114"/>
      <c r="AC656" s="114"/>
      <c r="AD656"/>
      <c r="AE656" s="180"/>
    </row>
    <row r="657" spans="1:32" s="1" customFormat="1" ht="43.35" customHeight="1">
      <c r="A657" s="852"/>
      <c r="B657" s="713" t="s">
        <v>48</v>
      </c>
      <c r="C657" s="720" t="s">
        <v>2054</v>
      </c>
      <c r="D657" s="466" t="s">
        <v>60</v>
      </c>
      <c r="E657" s="466"/>
      <c r="F657" s="466"/>
      <c r="G657" s="466"/>
      <c r="H657" s="466" t="s">
        <v>127</v>
      </c>
      <c r="I657" s="474" t="s">
        <v>34</v>
      </c>
      <c r="J657" s="1024" t="s">
        <v>2055</v>
      </c>
      <c r="K657" s="467"/>
      <c r="L657" s="470">
        <v>43832</v>
      </c>
      <c r="M657" s="470"/>
      <c r="N657" s="470"/>
      <c r="O657" s="470">
        <v>43864</v>
      </c>
      <c r="P657" s="471">
        <v>1</v>
      </c>
      <c r="Q657" s="471">
        <v>1</v>
      </c>
      <c r="R657" s="542">
        <v>300000</v>
      </c>
      <c r="S657" s="478" t="s">
        <v>1663</v>
      </c>
      <c r="T657" s="803" t="s">
        <v>36</v>
      </c>
      <c r="U657" s="470" t="s">
        <v>2036</v>
      </c>
      <c r="V657" s="470"/>
      <c r="W657" s="474" t="s">
        <v>2056</v>
      </c>
      <c r="X657" s="114"/>
      <c r="Y657" s="114"/>
      <c r="Z657" s="114"/>
      <c r="AA657" s="114"/>
      <c r="AB657" s="114"/>
      <c r="AC657" s="114"/>
      <c r="AD657"/>
      <c r="AE657" s="180"/>
    </row>
    <row r="658" spans="1:32" s="1" customFormat="1" ht="43.2">
      <c r="A658" s="888"/>
      <c r="B658" s="141" t="s">
        <v>28</v>
      </c>
      <c r="C658" s="96"/>
      <c r="D658" s="8" t="s">
        <v>60</v>
      </c>
      <c r="E658" s="8"/>
      <c r="F658" s="8"/>
      <c r="G658" s="8"/>
      <c r="H658" s="8" t="s">
        <v>260</v>
      </c>
      <c r="I658" s="8" t="s">
        <v>64</v>
      </c>
      <c r="J658" s="16" t="s">
        <v>2759</v>
      </c>
      <c r="K658" s="8"/>
      <c r="L658" s="8"/>
      <c r="M658" s="59">
        <v>43739</v>
      </c>
      <c r="N658" s="59"/>
      <c r="O658" s="59">
        <v>43873</v>
      </c>
      <c r="P658" s="10">
        <v>24</v>
      </c>
      <c r="Q658" s="8" t="s">
        <v>236</v>
      </c>
      <c r="R658" s="152">
        <v>58500</v>
      </c>
      <c r="S658" s="8" t="s">
        <v>66</v>
      </c>
      <c r="T658" s="166" t="s">
        <v>54</v>
      </c>
      <c r="U658" s="10"/>
      <c r="V658" s="10"/>
      <c r="W658" s="8" t="s">
        <v>233</v>
      </c>
      <c r="X658" s="8" t="s">
        <v>1088</v>
      </c>
      <c r="Y658" s="8" t="s">
        <v>457</v>
      </c>
      <c r="Z658" s="8"/>
      <c r="AA658" s="8"/>
      <c r="AB658" s="171"/>
      <c r="AC658" s="8" t="s">
        <v>1266</v>
      </c>
      <c r="AD658" s="3"/>
      <c r="AE658" s="228"/>
    </row>
    <row r="659" spans="1:32" s="1" customFormat="1" ht="57.6" customHeight="1">
      <c r="A659" s="888"/>
      <c r="B659" s="420" t="s">
        <v>145</v>
      </c>
      <c r="C659" s="426" t="s">
        <v>3460</v>
      </c>
      <c r="D659" s="374" t="s">
        <v>92</v>
      </c>
      <c r="E659" s="374"/>
      <c r="F659" s="374"/>
      <c r="G659" s="374"/>
      <c r="H659" s="374" t="s">
        <v>148</v>
      </c>
      <c r="I659" s="374" t="s">
        <v>64</v>
      </c>
      <c r="J659" s="1026" t="s">
        <v>1230</v>
      </c>
      <c r="K659" s="374"/>
      <c r="L659" s="374"/>
      <c r="M659" s="375">
        <v>43405</v>
      </c>
      <c r="N659" s="374"/>
      <c r="O659" s="375">
        <v>43876</v>
      </c>
      <c r="P659" s="376">
        <v>60</v>
      </c>
      <c r="Q659" s="376" t="s">
        <v>358</v>
      </c>
      <c r="R659" s="377">
        <v>60000</v>
      </c>
      <c r="S659" s="377" t="s">
        <v>66</v>
      </c>
      <c r="T659" s="438" t="s">
        <v>54</v>
      </c>
      <c r="U659" s="378" t="s">
        <v>43</v>
      </c>
      <c r="V659" s="378"/>
      <c r="W659" s="374" t="s">
        <v>3461</v>
      </c>
      <c r="X659" s="374" t="s">
        <v>428</v>
      </c>
      <c r="Y659" s="374" t="s">
        <v>59</v>
      </c>
      <c r="Z659" s="374"/>
      <c r="AA659" s="364" t="s">
        <v>41</v>
      </c>
      <c r="AB659" s="379">
        <v>43920</v>
      </c>
      <c r="AC659" s="366" t="s">
        <v>3462</v>
      </c>
      <c r="AD659" s="367"/>
      <c r="AE659" s="455"/>
    </row>
    <row r="660" spans="1:32" s="1" customFormat="1" ht="39.6">
      <c r="A660" s="852"/>
      <c r="B660" s="713" t="s">
        <v>48</v>
      </c>
      <c r="C660" s="720" t="s">
        <v>1968</v>
      </c>
      <c r="D660" s="466" t="s">
        <v>82</v>
      </c>
      <c r="E660" s="466"/>
      <c r="F660" s="466"/>
      <c r="G660" s="466"/>
      <c r="H660" s="466" t="s">
        <v>49</v>
      </c>
      <c r="I660" s="474" t="s">
        <v>34</v>
      </c>
      <c r="J660" s="1024" t="s">
        <v>1969</v>
      </c>
      <c r="K660" s="467"/>
      <c r="L660" s="485">
        <v>43780</v>
      </c>
      <c r="M660" s="485"/>
      <c r="N660" s="485"/>
      <c r="O660" s="485">
        <v>43878</v>
      </c>
      <c r="P660" s="471">
        <v>2</v>
      </c>
      <c r="Q660" s="761">
        <v>2</v>
      </c>
      <c r="R660" s="542">
        <v>250000</v>
      </c>
      <c r="S660" s="791" t="s">
        <v>1163</v>
      </c>
      <c r="T660" s="803" t="s">
        <v>36</v>
      </c>
      <c r="U660" s="470"/>
      <c r="V660" s="470"/>
      <c r="W660" s="488" t="s">
        <v>1467</v>
      </c>
      <c r="X660" s="114"/>
      <c r="Y660" s="114"/>
      <c r="Z660" s="114"/>
      <c r="AA660" s="114"/>
      <c r="AB660" s="114"/>
      <c r="AC660" s="114"/>
      <c r="AD660"/>
      <c r="AE660" s="180"/>
    </row>
    <row r="661" spans="1:32" s="1" customFormat="1" ht="57.6" customHeight="1">
      <c r="A661" s="852"/>
      <c r="B661" s="713" t="s">
        <v>48</v>
      </c>
      <c r="C661" s="720" t="s">
        <v>2021</v>
      </c>
      <c r="D661" s="466" t="s">
        <v>60</v>
      </c>
      <c r="E661" s="466"/>
      <c r="F661" s="466"/>
      <c r="G661" s="466"/>
      <c r="H661" s="466" t="s">
        <v>127</v>
      </c>
      <c r="I661" s="474" t="s">
        <v>34</v>
      </c>
      <c r="J661" s="1024" t="s">
        <v>2022</v>
      </c>
      <c r="K661" s="467"/>
      <c r="L661" s="485">
        <v>43832</v>
      </c>
      <c r="M661" s="485"/>
      <c r="N661" s="485"/>
      <c r="O661" s="485">
        <v>43878</v>
      </c>
      <c r="P661" s="471">
        <v>1</v>
      </c>
      <c r="Q661" s="761">
        <v>1</v>
      </c>
      <c r="R661" s="542">
        <v>520770</v>
      </c>
      <c r="S661" s="791" t="s">
        <v>1663</v>
      </c>
      <c r="T661" s="803" t="s">
        <v>144</v>
      </c>
      <c r="U661" s="470">
        <v>43700</v>
      </c>
      <c r="V661" s="470"/>
      <c r="W661" s="474" t="s">
        <v>2023</v>
      </c>
      <c r="X661" s="114"/>
      <c r="Y661" s="114"/>
      <c r="Z661" s="114"/>
      <c r="AA661" s="114"/>
      <c r="AB661" s="114"/>
      <c r="AC661" s="114"/>
      <c r="AD661"/>
      <c r="AE661" s="180"/>
    </row>
    <row r="662" spans="1:32" s="1" customFormat="1" ht="29.1" customHeight="1">
      <c r="A662" s="888"/>
      <c r="B662" s="420" t="s">
        <v>145</v>
      </c>
      <c r="C662" s="426"/>
      <c r="D662" s="360" t="s">
        <v>82</v>
      </c>
      <c r="E662" s="360"/>
      <c r="F662" s="360"/>
      <c r="G662" s="360"/>
      <c r="H662" s="360" t="s">
        <v>316</v>
      </c>
      <c r="I662" s="360" t="s">
        <v>34</v>
      </c>
      <c r="J662" s="1029" t="s">
        <v>3463</v>
      </c>
      <c r="K662" s="360"/>
      <c r="L662" s="360"/>
      <c r="M662" s="335">
        <v>43709</v>
      </c>
      <c r="N662" s="360"/>
      <c r="O662" s="335">
        <v>43883</v>
      </c>
      <c r="P662" s="361">
        <v>12</v>
      </c>
      <c r="Q662" s="432">
        <v>12</v>
      </c>
      <c r="R662" s="362">
        <v>80000</v>
      </c>
      <c r="S662" s="363" t="s">
        <v>163</v>
      </c>
      <c r="T662" s="434" t="s">
        <v>54</v>
      </c>
      <c r="U662" s="363" t="s">
        <v>43</v>
      </c>
      <c r="V662" s="363"/>
      <c r="W662" s="360" t="s">
        <v>3279</v>
      </c>
      <c r="X662" s="360" t="s">
        <v>428</v>
      </c>
      <c r="Y662" s="360" t="s">
        <v>59</v>
      </c>
      <c r="Z662" s="360"/>
      <c r="AA662" s="831" t="s">
        <v>41</v>
      </c>
      <c r="AB662" s="444">
        <v>43875</v>
      </c>
      <c r="AC662" s="360" t="s">
        <v>3456</v>
      </c>
      <c r="AD662" s="369"/>
      <c r="AE662" s="441"/>
    </row>
    <row r="663" spans="1:32" s="1" customFormat="1" ht="101.1" customHeight="1">
      <c r="A663" s="852"/>
      <c r="B663" s="303"/>
      <c r="C663" s="67"/>
      <c r="D663" s="9" t="s">
        <v>29</v>
      </c>
      <c r="E663" s="9"/>
      <c r="F663" s="9"/>
      <c r="G663" s="9"/>
      <c r="H663" s="5" t="s">
        <v>70</v>
      </c>
      <c r="I663" s="12" t="s">
        <v>34</v>
      </c>
      <c r="J663" s="16" t="s">
        <v>2761</v>
      </c>
      <c r="K663" s="16"/>
      <c r="L663" s="16"/>
      <c r="M663" s="176">
        <v>43739</v>
      </c>
      <c r="N663" s="176"/>
      <c r="O663" s="176">
        <v>43887</v>
      </c>
      <c r="P663" s="12" t="s">
        <v>35</v>
      </c>
      <c r="Q663" s="25" t="s">
        <v>35</v>
      </c>
      <c r="R663" s="18" t="s">
        <v>35</v>
      </c>
      <c r="S663" s="5" t="s">
        <v>35</v>
      </c>
      <c r="T663" s="26" t="s">
        <v>54</v>
      </c>
      <c r="U663" s="12" t="s">
        <v>37</v>
      </c>
      <c r="V663" s="12"/>
      <c r="W663" s="12" t="s">
        <v>301</v>
      </c>
      <c r="X663" s="1335" t="s">
        <v>219</v>
      </c>
      <c r="Y663" s="5" t="s">
        <v>39</v>
      </c>
      <c r="Z663" s="5"/>
      <c r="AA663" s="5"/>
      <c r="AB663" s="193" t="s">
        <v>1082</v>
      </c>
      <c r="AC663" s="8"/>
      <c r="AD663" s="70" t="s">
        <v>3464</v>
      </c>
      <c r="AE663" s="215">
        <v>4640</v>
      </c>
    </row>
    <row r="664" spans="1:32" s="3" customFormat="1" ht="43.35" customHeight="1">
      <c r="A664" s="852"/>
      <c r="B664" s="713" t="s">
        <v>48</v>
      </c>
      <c r="C664" s="720" t="s">
        <v>1945</v>
      </c>
      <c r="D664" s="466" t="s">
        <v>60</v>
      </c>
      <c r="E664" s="466"/>
      <c r="F664" s="466"/>
      <c r="G664" s="466"/>
      <c r="H664" s="466" t="s">
        <v>127</v>
      </c>
      <c r="I664" s="474" t="s">
        <v>34</v>
      </c>
      <c r="J664" s="1024" t="s">
        <v>1946</v>
      </c>
      <c r="K664" s="467"/>
      <c r="L664" s="485">
        <v>43731</v>
      </c>
      <c r="M664" s="485"/>
      <c r="N664" s="485"/>
      <c r="O664" s="485">
        <v>43888</v>
      </c>
      <c r="P664" s="485" t="s">
        <v>1947</v>
      </c>
      <c r="Q664" s="770" t="s">
        <v>1947</v>
      </c>
      <c r="R664" s="542">
        <v>75000</v>
      </c>
      <c r="S664" s="791" t="s">
        <v>1663</v>
      </c>
      <c r="T664" s="803" t="s">
        <v>36</v>
      </c>
      <c r="U664" s="470"/>
      <c r="V664" s="470"/>
      <c r="W664" s="488" t="s">
        <v>1133</v>
      </c>
      <c r="X664" s="114"/>
      <c r="Y664" s="114"/>
      <c r="Z664" s="114"/>
      <c r="AA664" s="180"/>
      <c r="AB664" s="180"/>
      <c r="AC664" s="114"/>
      <c r="AD664"/>
      <c r="AE664" s="180"/>
      <c r="AF664" s="1"/>
    </row>
    <row r="665" spans="1:32" s="1" customFormat="1" ht="43.35" customHeight="1">
      <c r="A665" s="889"/>
      <c r="B665" s="57"/>
      <c r="C665" s="67" t="s">
        <v>3465</v>
      </c>
      <c r="D665" s="5" t="s">
        <v>60</v>
      </c>
      <c r="E665" s="5"/>
      <c r="F665" s="5"/>
      <c r="G665" s="5"/>
      <c r="H665" s="5" t="s">
        <v>260</v>
      </c>
      <c r="I665" s="5" t="s">
        <v>34</v>
      </c>
      <c r="J665" s="16" t="s">
        <v>3466</v>
      </c>
      <c r="K665" s="8"/>
      <c r="L665" s="8"/>
      <c r="M665" s="193">
        <v>43691</v>
      </c>
      <c r="N665" s="193"/>
      <c r="O665" s="193">
        <v>43891</v>
      </c>
      <c r="P665" s="5">
        <v>60</v>
      </c>
      <c r="Q665" s="7" t="s">
        <v>143</v>
      </c>
      <c r="R665" s="18">
        <v>300000</v>
      </c>
      <c r="S665" s="7" t="s">
        <v>1163</v>
      </c>
      <c r="T665" s="26" t="s">
        <v>36</v>
      </c>
      <c r="U665" s="12" t="s">
        <v>37</v>
      </c>
      <c r="V665" s="12"/>
      <c r="W665" s="5" t="s">
        <v>233</v>
      </c>
      <c r="X665" s="5" t="s">
        <v>1053</v>
      </c>
      <c r="Y665" s="5" t="s">
        <v>457</v>
      </c>
      <c r="Z665" s="5"/>
      <c r="AA665" s="5"/>
      <c r="AB665" s="193" t="s">
        <v>3429</v>
      </c>
      <c r="AC665" s="8" t="s">
        <v>3467</v>
      </c>
      <c r="AD665" s="70" t="s">
        <v>260</v>
      </c>
      <c r="AE665" s="158"/>
    </row>
    <row r="666" spans="1:32" s="1" customFormat="1" ht="43.35" customHeight="1">
      <c r="A666" s="895"/>
      <c r="B666" s="57"/>
      <c r="C666" s="67" t="s">
        <v>3468</v>
      </c>
      <c r="D666" s="5" t="s">
        <v>60</v>
      </c>
      <c r="E666" s="5"/>
      <c r="F666" s="5"/>
      <c r="G666" s="5"/>
      <c r="H666" s="5" t="s">
        <v>260</v>
      </c>
      <c r="I666" s="5" t="s">
        <v>34</v>
      </c>
      <c r="J666" s="16" t="s">
        <v>3469</v>
      </c>
      <c r="K666" s="8"/>
      <c r="L666" s="8"/>
      <c r="M666" s="193">
        <v>43691</v>
      </c>
      <c r="N666" s="193"/>
      <c r="O666" s="193">
        <v>43891</v>
      </c>
      <c r="P666" s="5">
        <v>60</v>
      </c>
      <c r="Q666" s="7" t="s">
        <v>143</v>
      </c>
      <c r="R666" s="18">
        <v>210000</v>
      </c>
      <c r="S666" s="7" t="s">
        <v>1163</v>
      </c>
      <c r="T666" s="26" t="s">
        <v>36</v>
      </c>
      <c r="U666" s="12" t="s">
        <v>37</v>
      </c>
      <c r="V666" s="12"/>
      <c r="W666" s="5" t="s">
        <v>233</v>
      </c>
      <c r="X666" s="5" t="s">
        <v>1053</v>
      </c>
      <c r="Y666" s="5" t="s">
        <v>457</v>
      </c>
      <c r="Z666" s="5"/>
      <c r="AA666" s="5"/>
      <c r="AB666" s="193" t="s">
        <v>3429</v>
      </c>
      <c r="AC666" s="8" t="s">
        <v>3470</v>
      </c>
      <c r="AD666" s="70" t="s">
        <v>260</v>
      </c>
      <c r="AE666" s="158"/>
    </row>
    <row r="667" spans="1:32" s="1" customFormat="1" ht="43.35" customHeight="1">
      <c r="A667" s="888"/>
      <c r="B667" s="141" t="s">
        <v>28</v>
      </c>
      <c r="C667" s="67" t="s">
        <v>3471</v>
      </c>
      <c r="D667" s="5" t="s">
        <v>60</v>
      </c>
      <c r="E667" s="5"/>
      <c r="F667" s="5"/>
      <c r="G667" s="5"/>
      <c r="H667" s="5" t="s">
        <v>260</v>
      </c>
      <c r="I667" s="5" t="s">
        <v>34</v>
      </c>
      <c r="J667" s="16" t="s">
        <v>3469</v>
      </c>
      <c r="K667" s="8"/>
      <c r="L667" s="8"/>
      <c r="M667" s="193">
        <v>43691</v>
      </c>
      <c r="N667" s="193"/>
      <c r="O667" s="193">
        <v>43891</v>
      </c>
      <c r="P667" s="5">
        <v>60</v>
      </c>
      <c r="Q667" s="7" t="s">
        <v>143</v>
      </c>
      <c r="R667" s="18">
        <v>210000</v>
      </c>
      <c r="S667" s="7" t="s">
        <v>1163</v>
      </c>
      <c r="T667" s="26" t="s">
        <v>36</v>
      </c>
      <c r="U667" s="4"/>
      <c r="V667" s="4"/>
      <c r="W667" s="5" t="s">
        <v>233</v>
      </c>
      <c r="X667" s="5" t="s">
        <v>1053</v>
      </c>
      <c r="Y667" s="5" t="s">
        <v>457</v>
      </c>
      <c r="Z667" s="5"/>
      <c r="AA667" s="5"/>
      <c r="AB667" s="1386">
        <v>43902</v>
      </c>
      <c r="AC667" s="8" t="s">
        <v>3472</v>
      </c>
      <c r="AD667" s="70" t="s">
        <v>260</v>
      </c>
      <c r="AE667" s="158"/>
    </row>
    <row r="668" spans="1:32" s="1" customFormat="1" ht="57.6" customHeight="1">
      <c r="A668" s="852"/>
      <c r="B668" s="713" t="s">
        <v>48</v>
      </c>
      <c r="C668" s="720" t="s">
        <v>2024</v>
      </c>
      <c r="D668" s="466" t="s">
        <v>82</v>
      </c>
      <c r="E668" s="466"/>
      <c r="F668" s="466"/>
      <c r="G668" s="466"/>
      <c r="H668" s="466" t="s">
        <v>49</v>
      </c>
      <c r="I668" s="474" t="s">
        <v>34</v>
      </c>
      <c r="J668" s="1024" t="s">
        <v>2025</v>
      </c>
      <c r="K668" s="467"/>
      <c r="L668" s="485">
        <v>43794</v>
      </c>
      <c r="M668" s="485"/>
      <c r="N668" s="485"/>
      <c r="O668" s="485">
        <v>43891</v>
      </c>
      <c r="P668" s="471" t="s">
        <v>125</v>
      </c>
      <c r="Q668" s="761" t="s">
        <v>125</v>
      </c>
      <c r="R668" s="542">
        <v>485000</v>
      </c>
      <c r="S668" s="791" t="s">
        <v>1824</v>
      </c>
      <c r="T668" s="803" t="s">
        <v>144</v>
      </c>
      <c r="U668" s="470" t="s">
        <v>2026</v>
      </c>
      <c r="V668" s="470"/>
      <c r="W668" s="474" t="s">
        <v>1734</v>
      </c>
      <c r="X668" s="114"/>
      <c r="Y668" s="114"/>
      <c r="Z668" s="114"/>
      <c r="AA668" s="114"/>
      <c r="AB668" s="114"/>
      <c r="AC668" s="114"/>
      <c r="AD668"/>
      <c r="AE668" s="180"/>
    </row>
    <row r="669" spans="1:32" s="1" customFormat="1" ht="29.1" customHeight="1">
      <c r="A669" s="852"/>
      <c r="B669" s="713" t="s">
        <v>48</v>
      </c>
      <c r="C669" s="720" t="s">
        <v>2234</v>
      </c>
      <c r="D669" s="466" t="s">
        <v>60</v>
      </c>
      <c r="E669" s="466"/>
      <c r="F669" s="466"/>
      <c r="G669" s="466"/>
      <c r="H669" s="466" t="s">
        <v>127</v>
      </c>
      <c r="I669" s="474" t="s">
        <v>34</v>
      </c>
      <c r="J669" s="549" t="s">
        <v>2235</v>
      </c>
      <c r="K669" s="484"/>
      <c r="L669" s="484"/>
      <c r="M669" s="466">
        <v>6</v>
      </c>
      <c r="N669" s="469" t="str">
        <f>IF(O669="tbc","",(IFERROR(EDATE(#REF!,-3),"Invalid procurement method or date entered")))</f>
        <v>Invalid procurement method or date entered</v>
      </c>
      <c r="O669" s="469">
        <v>43891</v>
      </c>
      <c r="P669" s="491">
        <v>2</v>
      </c>
      <c r="Q669" s="765">
        <v>2</v>
      </c>
      <c r="R669" s="493">
        <v>180000</v>
      </c>
      <c r="S669" s="796" t="s">
        <v>163</v>
      </c>
      <c r="T669" s="765" t="s">
        <v>36</v>
      </c>
      <c r="U669" s="469">
        <v>43700</v>
      </c>
      <c r="V669" s="469"/>
      <c r="W669" s="474" t="s">
        <v>1543</v>
      </c>
      <c r="X669" s="114"/>
      <c r="Y669" s="114"/>
      <c r="Z669" s="114"/>
      <c r="AA669" s="114"/>
      <c r="AB669" s="114"/>
      <c r="AC669" s="114"/>
      <c r="AD669"/>
      <c r="AE669" s="180"/>
    </row>
    <row r="670" spans="1:32" s="1" customFormat="1" ht="129.6">
      <c r="A670" s="888"/>
      <c r="B670" s="141" t="s">
        <v>28</v>
      </c>
      <c r="C670" s="67" t="s">
        <v>3162</v>
      </c>
      <c r="D670" s="9" t="s">
        <v>29</v>
      </c>
      <c r="E670" s="9"/>
      <c r="F670" s="9"/>
      <c r="G670" s="9"/>
      <c r="H670" s="5" t="s">
        <v>70</v>
      </c>
      <c r="I670" s="5" t="s">
        <v>64</v>
      </c>
      <c r="J670" s="16" t="s">
        <v>3003</v>
      </c>
      <c r="K670" s="16"/>
      <c r="L670" s="16"/>
      <c r="M670" s="176">
        <v>43739</v>
      </c>
      <c r="N670" s="176"/>
      <c r="O670" s="176">
        <v>43894</v>
      </c>
      <c r="P670" s="12">
        <v>36</v>
      </c>
      <c r="Q670" s="13" t="s">
        <v>3473</v>
      </c>
      <c r="R670" s="18">
        <v>42750</v>
      </c>
      <c r="S670" s="5" t="s">
        <v>66</v>
      </c>
      <c r="T670" s="26" t="s">
        <v>54</v>
      </c>
      <c r="U670" s="4"/>
      <c r="V670" s="4"/>
      <c r="W670" s="5" t="s">
        <v>286</v>
      </c>
      <c r="X670" s="5" t="s">
        <v>1088</v>
      </c>
      <c r="Y670" s="5" t="s">
        <v>457</v>
      </c>
      <c r="Z670" s="5"/>
      <c r="AA670" s="5"/>
      <c r="AB670" s="1386"/>
      <c r="AC670" s="8" t="s">
        <v>3474</v>
      </c>
      <c r="AE670" s="219">
        <v>14250</v>
      </c>
    </row>
    <row r="671" spans="1:32" s="1" customFormat="1" ht="72" customHeight="1">
      <c r="A671" s="1061">
        <v>44974</v>
      </c>
      <c r="B671" s="1020" t="s">
        <v>210</v>
      </c>
      <c r="C671" s="1075" t="s">
        <v>3475</v>
      </c>
      <c r="D671" s="1072" t="s">
        <v>1034</v>
      </c>
      <c r="E671" s="1066" t="s">
        <v>210</v>
      </c>
      <c r="F671" s="1066" t="s">
        <v>190</v>
      </c>
      <c r="G671" s="1066" t="s">
        <v>190</v>
      </c>
      <c r="H671" s="1066" t="s">
        <v>190</v>
      </c>
      <c r="I671" s="1066" t="s">
        <v>190</v>
      </c>
      <c r="J671" s="1095" t="s">
        <v>1167</v>
      </c>
      <c r="K671" s="1072" t="s">
        <v>1168</v>
      </c>
      <c r="L671" s="1066" t="s">
        <v>190</v>
      </c>
      <c r="M671" s="1066" t="s">
        <v>190</v>
      </c>
      <c r="N671" s="1066" t="s">
        <v>190</v>
      </c>
      <c r="O671" s="1142">
        <v>43895</v>
      </c>
      <c r="P671" s="1142">
        <v>45230</v>
      </c>
      <c r="Q671" s="1072" t="s">
        <v>3476</v>
      </c>
      <c r="R671" s="1176">
        <v>47673</v>
      </c>
      <c r="S671" s="1072" t="s">
        <v>154</v>
      </c>
      <c r="T671" s="1204" t="s">
        <v>190</v>
      </c>
      <c r="U671" s="1066" t="s">
        <v>190</v>
      </c>
      <c r="V671" s="1066"/>
      <c r="W671" s="1072" t="s">
        <v>3477</v>
      </c>
      <c r="X671" s="1072" t="s">
        <v>1346</v>
      </c>
      <c r="Y671" s="1072" t="s">
        <v>1266</v>
      </c>
      <c r="Z671" s="1066" t="s">
        <v>190</v>
      </c>
      <c r="AA671" s="1066" t="s">
        <v>190</v>
      </c>
      <c r="AB671" s="1066" t="s">
        <v>190</v>
      </c>
      <c r="AC671" s="1095" t="s">
        <v>3478</v>
      </c>
      <c r="AD671" s="1068" t="s">
        <v>190</v>
      </c>
      <c r="AE671" s="1254">
        <v>47673</v>
      </c>
      <c r="AF671"/>
    </row>
    <row r="672" spans="1:32" s="1" customFormat="1" ht="43.35" customHeight="1">
      <c r="A672" s="888"/>
      <c r="B672" s="141" t="s">
        <v>28</v>
      </c>
      <c r="C672" s="67"/>
      <c r="D672" s="9" t="s">
        <v>29</v>
      </c>
      <c r="E672" s="9"/>
      <c r="F672" s="9"/>
      <c r="G672" s="9"/>
      <c r="H672" s="5" t="s">
        <v>70</v>
      </c>
      <c r="I672" s="5" t="s">
        <v>34</v>
      </c>
      <c r="J672" s="16" t="s">
        <v>2935</v>
      </c>
      <c r="K672" s="8"/>
      <c r="L672" s="8"/>
      <c r="M672" s="14">
        <v>43894</v>
      </c>
      <c r="N672" s="14"/>
      <c r="O672" s="14">
        <v>43908</v>
      </c>
      <c r="P672" s="12">
        <v>12</v>
      </c>
      <c r="Q672" s="5" t="s">
        <v>108</v>
      </c>
      <c r="R672" s="18">
        <v>15195</v>
      </c>
      <c r="S672" s="5" t="s">
        <v>909</v>
      </c>
      <c r="T672" s="155" t="s">
        <v>54</v>
      </c>
      <c r="U672" s="4"/>
      <c r="V672" s="4"/>
      <c r="W672" s="5" t="s">
        <v>2616</v>
      </c>
      <c r="X672" s="5" t="s">
        <v>219</v>
      </c>
      <c r="Y672" s="5" t="s">
        <v>457</v>
      </c>
      <c r="Z672" s="5"/>
      <c r="AA672" s="5"/>
      <c r="AB672" s="193">
        <v>43894</v>
      </c>
      <c r="AC672" s="8" t="s">
        <v>3479</v>
      </c>
      <c r="AE672" s="218"/>
    </row>
    <row r="673" spans="1:51" s="282" customFormat="1" ht="52.8">
      <c r="A673" s="852"/>
      <c r="B673" s="713" t="s">
        <v>48</v>
      </c>
      <c r="C673" s="720" t="s">
        <v>2059</v>
      </c>
      <c r="D673" s="466" t="s">
        <v>60</v>
      </c>
      <c r="E673" s="466"/>
      <c r="F673" s="466"/>
      <c r="G673" s="466"/>
      <c r="H673" s="466" t="s">
        <v>127</v>
      </c>
      <c r="I673" s="474" t="s">
        <v>34</v>
      </c>
      <c r="J673" s="551" t="s">
        <v>2060</v>
      </c>
      <c r="K673" s="546"/>
      <c r="L673" s="470">
        <v>43894</v>
      </c>
      <c r="M673" s="470"/>
      <c r="N673" s="470"/>
      <c r="O673" s="470">
        <v>43913</v>
      </c>
      <c r="P673" s="471">
        <v>1</v>
      </c>
      <c r="Q673" s="471">
        <v>1</v>
      </c>
      <c r="R673" s="542">
        <v>490000</v>
      </c>
      <c r="S673" s="470" t="s">
        <v>109</v>
      </c>
      <c r="T673" s="803" t="s">
        <v>36</v>
      </c>
      <c r="U673" s="470" t="s">
        <v>125</v>
      </c>
      <c r="V673" s="470"/>
      <c r="W673" s="474" t="s">
        <v>1335</v>
      </c>
      <c r="X673" s="114"/>
      <c r="Y673" s="114"/>
      <c r="Z673" s="114"/>
      <c r="AA673" s="114"/>
      <c r="AB673" s="114"/>
      <c r="AC673" s="114"/>
      <c r="AD673"/>
      <c r="AE673" s="180"/>
      <c r="AF673" s="1"/>
      <c r="AG673" s="1360"/>
      <c r="AH673" s="1360"/>
      <c r="AI673" s="1360"/>
      <c r="AJ673" s="1360"/>
      <c r="AK673" s="1360"/>
      <c r="AL673" s="1360"/>
      <c r="AM673" s="1360"/>
      <c r="AN673" s="1360"/>
      <c r="AO673" s="1360"/>
      <c r="AP673" s="1360"/>
      <c r="AQ673" s="1360"/>
      <c r="AR673" s="1360"/>
      <c r="AS673" s="1360"/>
      <c r="AT673" s="1360"/>
      <c r="AU673" s="1360"/>
      <c r="AV673" s="1360"/>
      <c r="AW673" s="1360"/>
      <c r="AX673" s="1360"/>
      <c r="AY673" s="1360"/>
    </row>
    <row r="674" spans="1:51" s="282" customFormat="1" ht="216">
      <c r="A674" s="889"/>
      <c r="B674" s="141"/>
      <c r="C674" s="67" t="s">
        <v>35</v>
      </c>
      <c r="D674" s="12" t="s">
        <v>45</v>
      </c>
      <c r="E674" s="12"/>
      <c r="F674" s="12"/>
      <c r="G674" s="12"/>
      <c r="H674" s="5" t="s">
        <v>70</v>
      </c>
      <c r="I674" s="5" t="s">
        <v>34</v>
      </c>
      <c r="J674" s="16" t="s">
        <v>3480</v>
      </c>
      <c r="K674" s="8"/>
      <c r="L674" s="8"/>
      <c r="M674" s="14">
        <v>43101</v>
      </c>
      <c r="N674" s="14"/>
      <c r="O674" s="14">
        <v>43917</v>
      </c>
      <c r="P674" s="12">
        <v>36</v>
      </c>
      <c r="Q674" s="5">
        <v>36</v>
      </c>
      <c r="R674" s="18">
        <v>540608.37</v>
      </c>
      <c r="S674" s="5" t="s">
        <v>109</v>
      </c>
      <c r="T674" s="26" t="s">
        <v>54</v>
      </c>
      <c r="U674" s="5" t="s">
        <v>3104</v>
      </c>
      <c r="V674" s="5"/>
      <c r="W674" s="5" t="s">
        <v>3481</v>
      </c>
      <c r="X674" s="5" t="s">
        <v>150</v>
      </c>
      <c r="Y674" s="5" t="s">
        <v>39</v>
      </c>
      <c r="Z674" s="5"/>
      <c r="AA674" s="5"/>
      <c r="AB674" s="193" t="s">
        <v>3429</v>
      </c>
      <c r="AC674" s="8" t="s">
        <v>3482</v>
      </c>
      <c r="AD674" s="70" t="s">
        <v>3483</v>
      </c>
      <c r="AE674" s="158"/>
      <c r="AF674" s="1"/>
      <c r="AG674" s="1360"/>
      <c r="AH674" s="1360"/>
      <c r="AI674" s="1360"/>
      <c r="AJ674" s="1360"/>
      <c r="AK674" s="1360"/>
      <c r="AL674" s="1360"/>
      <c r="AM674" s="1360"/>
      <c r="AN674" s="1360"/>
      <c r="AO674" s="1360"/>
      <c r="AP674" s="1360"/>
      <c r="AQ674" s="1360"/>
      <c r="AR674" s="1360"/>
      <c r="AS674" s="1360"/>
      <c r="AT674" s="1360"/>
      <c r="AU674" s="1360"/>
      <c r="AV674" s="1360"/>
      <c r="AW674" s="1360"/>
      <c r="AX674" s="1360"/>
      <c r="AY674" s="1360"/>
    </row>
    <row r="675" spans="1:51" s="1" customFormat="1" ht="72">
      <c r="A675" s="852"/>
      <c r="B675" s="57"/>
      <c r="C675" s="67" t="s">
        <v>35</v>
      </c>
      <c r="D675" s="9" t="s">
        <v>60</v>
      </c>
      <c r="E675" s="9"/>
      <c r="F675" s="9"/>
      <c r="G675" s="9"/>
      <c r="H675" s="5" t="s">
        <v>70</v>
      </c>
      <c r="I675" s="5" t="s">
        <v>64</v>
      </c>
      <c r="J675" s="16" t="s">
        <v>3484</v>
      </c>
      <c r="K675" s="8"/>
      <c r="L675" s="5" t="e">
        <f>IF(OR(S675=#REF!,S675=#REF!,S675=#REF!,S675=#REF!,S675=#REF!,S675=#REF!,S675=#REF!,S675=#REF!),12,IF(OR(S675=#REF!,S675=#REF!,S675=#REF!,S675=#REF!,S675=#REF!,S675=#REF!,S675=#REF!),3,IF(S675=#REF!,1,IF(S675=#REF!,18,IF(OR(S675=#REF!,S675=#REF!,S675=#REF!,S675=#REF!,S675=#REF!),14,"Invalid proposed procurement method")))))</f>
        <v>#REF!</v>
      </c>
      <c r="M675" s="193" t="str">
        <f>IFERROR(EDATE($N675,-3),"Invalid procurement method or date entered")</f>
        <v>Invalid procurement method or date entered</v>
      </c>
      <c r="N675" s="193" t="str">
        <f>IFERROR(EDATE(O675,-L675),"Invalid procurement method or date entered")</f>
        <v>Invalid procurement method or date entered</v>
      </c>
      <c r="O675" s="193">
        <v>43919</v>
      </c>
      <c r="P675" s="5">
        <v>30</v>
      </c>
      <c r="Q675" s="7" t="s">
        <v>3485</v>
      </c>
      <c r="R675" s="18">
        <v>60000</v>
      </c>
      <c r="S675" s="5" t="s">
        <v>164</v>
      </c>
      <c r="T675" s="161" t="s">
        <v>36</v>
      </c>
      <c r="U675" s="45" t="s">
        <v>37</v>
      </c>
      <c r="V675" s="45"/>
      <c r="W675" s="5" t="s">
        <v>497</v>
      </c>
      <c r="X675" s="5" t="s">
        <v>219</v>
      </c>
      <c r="Y675" s="5" t="s">
        <v>39</v>
      </c>
      <c r="Z675" s="5"/>
      <c r="AA675" s="5" t="s">
        <v>54</v>
      </c>
      <c r="AB675" s="193" t="s">
        <v>1082</v>
      </c>
      <c r="AC675" s="8" t="s">
        <v>3486</v>
      </c>
      <c r="AD675" s="74" t="s">
        <v>3487</v>
      </c>
      <c r="AE675" s="158"/>
    </row>
    <row r="676" spans="1:51" s="1" customFormat="1" ht="360">
      <c r="A676" s="888"/>
      <c r="B676" s="141" t="s">
        <v>28</v>
      </c>
      <c r="C676" s="724" t="s">
        <v>3488</v>
      </c>
      <c r="D676" s="9" t="s">
        <v>29</v>
      </c>
      <c r="E676" s="9"/>
      <c r="F676" s="9"/>
      <c r="G676" s="9"/>
      <c r="H676" s="5" t="s">
        <v>133</v>
      </c>
      <c r="I676" s="12" t="s">
        <v>64</v>
      </c>
      <c r="J676" s="16" t="s">
        <v>3489</v>
      </c>
      <c r="K676" s="8"/>
      <c r="L676" s="8"/>
      <c r="M676" s="176">
        <v>43739</v>
      </c>
      <c r="N676" s="176"/>
      <c r="O676" s="176">
        <v>43921</v>
      </c>
      <c r="P676" s="5">
        <v>60</v>
      </c>
      <c r="Q676" s="25" t="s">
        <v>1095</v>
      </c>
      <c r="R676" s="18" t="s">
        <v>2862</v>
      </c>
      <c r="S676" s="30" t="s">
        <v>66</v>
      </c>
      <c r="T676" s="26" t="s">
        <v>54</v>
      </c>
      <c r="U676" s="12" t="s">
        <v>37</v>
      </c>
      <c r="V676" s="12"/>
      <c r="W676" s="5" t="s">
        <v>136</v>
      </c>
      <c r="X676" s="9" t="s">
        <v>1088</v>
      </c>
      <c r="Y676" s="5" t="s">
        <v>59</v>
      </c>
      <c r="Z676" s="5"/>
      <c r="AA676" s="39"/>
      <c r="AB676" s="193">
        <v>43991</v>
      </c>
      <c r="AC676" s="8" t="s">
        <v>3490</v>
      </c>
      <c r="AD676" s="70" t="s">
        <v>416</v>
      </c>
      <c r="AE676" s="26" t="s">
        <v>1374</v>
      </c>
    </row>
    <row r="677" spans="1:51" s="1" customFormat="1" ht="52.8">
      <c r="A677" s="852"/>
      <c r="B677" s="713" t="s">
        <v>48</v>
      </c>
      <c r="C677" s="720" t="s">
        <v>2061</v>
      </c>
      <c r="D677" s="466" t="s">
        <v>60</v>
      </c>
      <c r="E677" s="466"/>
      <c r="F677" s="466"/>
      <c r="G677" s="466"/>
      <c r="H677" s="466" t="s">
        <v>127</v>
      </c>
      <c r="I677" s="474" t="s">
        <v>34</v>
      </c>
      <c r="J677" s="1024" t="s">
        <v>2062</v>
      </c>
      <c r="K677" s="467"/>
      <c r="L677" s="470">
        <v>43800</v>
      </c>
      <c r="M677" s="470"/>
      <c r="N677" s="470"/>
      <c r="O677" s="470">
        <v>43921</v>
      </c>
      <c r="P677" s="471">
        <v>12</v>
      </c>
      <c r="Q677" s="471">
        <v>12</v>
      </c>
      <c r="R677" s="542">
        <v>4200000</v>
      </c>
      <c r="S677" s="470" t="s">
        <v>1663</v>
      </c>
      <c r="T677" s="803" t="s">
        <v>144</v>
      </c>
      <c r="U677" s="470" t="s">
        <v>2063</v>
      </c>
      <c r="V677" s="470"/>
      <c r="W677" s="474" t="s">
        <v>2064</v>
      </c>
      <c r="X677" s="114"/>
      <c r="Y677" s="114"/>
      <c r="Z677" s="114"/>
      <c r="AA677" s="114"/>
      <c r="AB677" s="114"/>
      <c r="AC677" s="114"/>
      <c r="AD677"/>
      <c r="AE677" s="180"/>
    </row>
    <row r="678" spans="1:51" s="1" customFormat="1" ht="43.2">
      <c r="A678" s="889"/>
      <c r="B678" s="303"/>
      <c r="C678" s="67" t="s">
        <v>3491</v>
      </c>
      <c r="D678" s="5" t="s">
        <v>29</v>
      </c>
      <c r="E678" s="5"/>
      <c r="F678" s="5"/>
      <c r="G678" s="5"/>
      <c r="H678" s="5" t="s">
        <v>81</v>
      </c>
      <c r="I678" s="12" t="s">
        <v>34</v>
      </c>
      <c r="J678" s="16" t="s">
        <v>77</v>
      </c>
      <c r="K678" s="8"/>
      <c r="L678" s="8"/>
      <c r="M678" s="176">
        <v>43374</v>
      </c>
      <c r="N678" s="176"/>
      <c r="O678" s="176">
        <v>43922</v>
      </c>
      <c r="P678" s="12">
        <v>48</v>
      </c>
      <c r="Q678" s="13" t="s">
        <v>648</v>
      </c>
      <c r="R678" s="39">
        <v>180000</v>
      </c>
      <c r="S678" s="1335" t="s">
        <v>217</v>
      </c>
      <c r="T678" s="155" t="s">
        <v>36</v>
      </c>
      <c r="U678" s="14" t="s">
        <v>37</v>
      </c>
      <c r="V678" s="14"/>
      <c r="W678" s="12" t="s">
        <v>78</v>
      </c>
      <c r="X678" s="5" t="s">
        <v>2919</v>
      </c>
      <c r="Y678" s="5" t="s">
        <v>39</v>
      </c>
      <c r="Z678" s="5"/>
      <c r="AA678" s="12"/>
      <c r="AB678" s="193" t="s">
        <v>1082</v>
      </c>
      <c r="AC678" s="8" t="s">
        <v>3492</v>
      </c>
      <c r="AD678" s="70" t="s">
        <v>81</v>
      </c>
      <c r="AE678" s="215"/>
    </row>
    <row r="679" spans="1:51" s="1" customFormat="1" ht="72">
      <c r="A679" s="852"/>
      <c r="B679" s="57"/>
      <c r="C679" s="1449" t="s">
        <v>35</v>
      </c>
      <c r="D679" s="1403" t="s">
        <v>29</v>
      </c>
      <c r="E679" s="1403"/>
      <c r="F679" s="1403"/>
      <c r="G679" s="1403"/>
      <c r="H679" s="1375" t="s">
        <v>70</v>
      </c>
      <c r="I679" s="1375" t="s">
        <v>34</v>
      </c>
      <c r="J679" s="1447" t="s">
        <v>3047</v>
      </c>
      <c r="K679" s="1447"/>
      <c r="L679" s="5" t="e">
        <f>IF(OR(S679=#REF!,S679=#REF!,S679=#REF!,S679=#REF!,S679=#REF!,S679=#REF!,S679=#REF!,S679=#REF!),12,IF(OR(S679=#REF!,S679=#REF!,S679=#REF!,S679=#REF!,S679=#REF!,S679=#REF!,S679=#REF!),3,IF(S679=#REF!,1,IF(S679=#REF!,18,IF(OR(S679=#REF!,S679=#REF!,S679=#REF!,S679=#REF!,S679=#REF!),14,"Invalid proposed procurement method")))))</f>
        <v>#REF!</v>
      </c>
      <c r="M679" s="193" t="str">
        <f>IFERROR(EDATE($N679,-3),"Invalid procurement method or date entered")</f>
        <v>Invalid procurement method or date entered</v>
      </c>
      <c r="N679" s="193" t="str">
        <f>IFERROR(EDATE(O679,-L679),"Invalid procurement method or date entered")</f>
        <v>Invalid procurement method or date entered</v>
      </c>
      <c r="O679" s="1429">
        <v>43922</v>
      </c>
      <c r="P679" s="1403">
        <v>12</v>
      </c>
      <c r="Q679" s="1404">
        <v>12</v>
      </c>
      <c r="R679" s="18">
        <v>60000</v>
      </c>
      <c r="S679" s="1457" t="s">
        <v>109</v>
      </c>
      <c r="T679" s="1404" t="s">
        <v>54</v>
      </c>
      <c r="U679" s="12" t="s">
        <v>37</v>
      </c>
      <c r="V679" s="12"/>
      <c r="W679" s="1403" t="s">
        <v>1315</v>
      </c>
      <c r="X679" s="1375" t="s">
        <v>184</v>
      </c>
      <c r="Y679" s="1375" t="s">
        <v>39</v>
      </c>
      <c r="Z679" s="1375"/>
      <c r="AA679" s="1403" t="s">
        <v>54</v>
      </c>
      <c r="AB679" s="1386"/>
      <c r="AC679" s="1365" t="s">
        <v>3493</v>
      </c>
      <c r="AD679" s="74" t="s">
        <v>3487</v>
      </c>
      <c r="AE679" s="1445"/>
      <c r="AF679" s="1358"/>
    </row>
    <row r="680" spans="1:51" s="1" customFormat="1" ht="43.35" customHeight="1">
      <c r="A680" s="895"/>
      <c r="B680" s="57"/>
      <c r="C680" s="67" t="s">
        <v>3494</v>
      </c>
      <c r="D680" s="5" t="s">
        <v>29</v>
      </c>
      <c r="E680" s="5"/>
      <c r="F680" s="5"/>
      <c r="G680" s="5"/>
      <c r="H680" s="5" t="s">
        <v>70</v>
      </c>
      <c r="I680" s="5" t="s">
        <v>34</v>
      </c>
      <c r="J680" s="16" t="s">
        <v>3495</v>
      </c>
      <c r="K680" s="16"/>
      <c r="L680" s="5" t="e">
        <f>IF(OR(S680=#REF!,S680=#REF!,S680=#REF!,S680=#REF!,S680=#REF!,S680=#REF!,S680=#REF!,S680=#REF!),12,IF(OR(S680=#REF!,S680=#REF!,S680=#REF!,S680=#REF!,S680=#REF!,S680=#REF!,S680=#REF!),3,IF(S680=#REF!,1,IF(S680=#REF!,18,IF(OR(S680=#REF!,S680=#REF!,S680=#REF!,S680=#REF!,S680=#REF!),14,"Invalid proposed procurement method")))))</f>
        <v>#REF!</v>
      </c>
      <c r="M680" s="193" t="str">
        <f>IFERROR(EDATE($N680,-3),"Invalid procurement method or date entered")</f>
        <v>Invalid procurement method or date entered</v>
      </c>
      <c r="N680" s="193" t="str">
        <f>IFERROR(EDATE(O680,-L680),"Invalid procurement method or date entered")</f>
        <v>Invalid procurement method or date entered</v>
      </c>
      <c r="O680" s="176">
        <v>43922</v>
      </c>
      <c r="P680" s="12">
        <v>12</v>
      </c>
      <c r="Q680" s="27">
        <v>12</v>
      </c>
      <c r="R680" s="18">
        <v>26000</v>
      </c>
      <c r="S680" s="30" t="s">
        <v>109</v>
      </c>
      <c r="T680" s="26" t="s">
        <v>54</v>
      </c>
      <c r="U680" s="12" t="s">
        <v>37</v>
      </c>
      <c r="V680" s="12"/>
      <c r="W680" s="43" t="s">
        <v>3156</v>
      </c>
      <c r="X680" s="5" t="s">
        <v>1053</v>
      </c>
      <c r="Y680" s="5" t="s">
        <v>457</v>
      </c>
      <c r="Z680" s="5"/>
      <c r="AA680" s="5" t="s">
        <v>54</v>
      </c>
      <c r="AB680" s="193" t="s">
        <v>1250</v>
      </c>
      <c r="AC680" s="8" t="s">
        <v>1246</v>
      </c>
      <c r="AD680" s="74" t="s">
        <v>3496</v>
      </c>
      <c r="AE680" s="215"/>
      <c r="AF680" s="1358"/>
    </row>
    <row r="681" spans="1:51" s="34" customFormat="1" ht="57.6" customHeight="1">
      <c r="A681" s="852"/>
      <c r="B681" s="57"/>
      <c r="C681" s="67" t="s">
        <v>3497</v>
      </c>
      <c r="D681" s="5" t="s">
        <v>29</v>
      </c>
      <c r="E681" s="5"/>
      <c r="F681" s="5"/>
      <c r="G681" s="5"/>
      <c r="H681" s="5" t="s">
        <v>70</v>
      </c>
      <c r="I681" s="5" t="s">
        <v>34</v>
      </c>
      <c r="J681" s="16" t="s">
        <v>1368</v>
      </c>
      <c r="K681" s="8"/>
      <c r="L681" s="5" t="e">
        <f>IF(OR(S681=#REF!,S681=#REF!,S681=#REF!,S681=#REF!,S681=#REF!,S681=#REF!,S681=#REF!,S681=#REF!),12,IF(OR(S681=#REF!,S681=#REF!,S681=#REF!,S681=#REF!,S681=#REF!,S681=#REF!,S681=#REF!),3,IF(S681=#REF!,1,IF(S681=#REF!,18,IF(OR(S681=#REF!,S681=#REF!,S681=#REF!,S681=#REF!,S681=#REF!),14,"Invalid proposed procurement method")))))</f>
        <v>#REF!</v>
      </c>
      <c r="M681" s="193" t="str">
        <f>IFERROR(EDATE($N681,-3),"Invalid procurement method or date entered")</f>
        <v>Invalid procurement method or date entered</v>
      </c>
      <c r="N681" s="193" t="str">
        <f>IFERROR(EDATE(O681,-L681),"Invalid procurement method or date entered")</f>
        <v>Invalid procurement method or date entered</v>
      </c>
      <c r="O681" s="14">
        <v>43922</v>
      </c>
      <c r="P681" s="12">
        <v>36</v>
      </c>
      <c r="Q681" s="5">
        <v>36</v>
      </c>
      <c r="R681" s="18">
        <v>44000</v>
      </c>
      <c r="S681" s="5" t="s">
        <v>109</v>
      </c>
      <c r="T681" s="155" t="s">
        <v>54</v>
      </c>
      <c r="U681" s="12" t="s">
        <v>37</v>
      </c>
      <c r="V681" s="12"/>
      <c r="W681" s="5" t="s">
        <v>286</v>
      </c>
      <c r="X681" s="43" t="s">
        <v>1053</v>
      </c>
      <c r="Y681" s="5" t="s">
        <v>457</v>
      </c>
      <c r="Z681" s="5"/>
      <c r="AA681" s="5" t="s">
        <v>54</v>
      </c>
      <c r="AB681" s="193" t="s">
        <v>1250</v>
      </c>
      <c r="AC681" s="8" t="s">
        <v>1246</v>
      </c>
      <c r="AD681" s="74" t="s">
        <v>245</v>
      </c>
      <c r="AE681" s="214">
        <v>13500</v>
      </c>
      <c r="AF681" s="1"/>
    </row>
    <row r="682" spans="1:51" s="1" customFormat="1" ht="28.8">
      <c r="A682" s="889"/>
      <c r="B682" s="303"/>
      <c r="C682" s="67" t="s">
        <v>722</v>
      </c>
      <c r="D682" s="9" t="s">
        <v>29</v>
      </c>
      <c r="E682" s="9"/>
      <c r="F682" s="9"/>
      <c r="G682" s="9"/>
      <c r="H682" s="5" t="s">
        <v>723</v>
      </c>
      <c r="I682" s="12" t="s">
        <v>34</v>
      </c>
      <c r="J682" s="16" t="s">
        <v>724</v>
      </c>
      <c r="K682" s="16"/>
      <c r="L682" s="16"/>
      <c r="M682" s="176">
        <v>43555</v>
      </c>
      <c r="N682" s="176"/>
      <c r="O682" s="176">
        <v>43922</v>
      </c>
      <c r="P682" s="12" t="s">
        <v>162</v>
      </c>
      <c r="Q682" s="7" t="s">
        <v>143</v>
      </c>
      <c r="R682" s="18">
        <v>2381430</v>
      </c>
      <c r="S682" s="5" t="s">
        <v>733</v>
      </c>
      <c r="T682" s="162" t="s">
        <v>35</v>
      </c>
      <c r="U682" s="44" t="s">
        <v>35</v>
      </c>
      <c r="V682" s="44"/>
      <c r="W682" s="12" t="s">
        <v>725</v>
      </c>
      <c r="X682" s="5" t="s">
        <v>2689</v>
      </c>
      <c r="Y682" s="5" t="s">
        <v>59</v>
      </c>
      <c r="Z682" s="5"/>
      <c r="AA682" s="12"/>
      <c r="AB682" s="193" t="s">
        <v>1082</v>
      </c>
      <c r="AC682" s="8" t="s">
        <v>1246</v>
      </c>
      <c r="AD682" s="70" t="s">
        <v>654</v>
      </c>
      <c r="AE682" s="215">
        <v>476286</v>
      </c>
    </row>
    <row r="683" spans="1:51" s="1" customFormat="1" ht="57.6" customHeight="1">
      <c r="A683" s="852"/>
      <c r="B683" s="141"/>
      <c r="C683" s="67" t="s">
        <v>3498</v>
      </c>
      <c r="D683" s="9" t="s">
        <v>60</v>
      </c>
      <c r="E683" s="9"/>
      <c r="F683" s="9"/>
      <c r="G683" s="9"/>
      <c r="H683" s="43" t="s">
        <v>127</v>
      </c>
      <c r="I683" s="43" t="s">
        <v>34</v>
      </c>
      <c r="J683" s="64" t="s">
        <v>510</v>
      </c>
      <c r="K683" s="64"/>
      <c r="L683" s="64"/>
      <c r="M683" s="193">
        <v>43556</v>
      </c>
      <c r="N683" s="193"/>
      <c r="O683" s="46">
        <v>43922</v>
      </c>
      <c r="P683" s="43">
        <v>48</v>
      </c>
      <c r="Q683" s="43">
        <v>48</v>
      </c>
      <c r="R683" s="18">
        <v>320000</v>
      </c>
      <c r="S683" s="43" t="s">
        <v>98</v>
      </c>
      <c r="T683" s="26" t="s">
        <v>41</v>
      </c>
      <c r="U683" s="176">
        <v>43854</v>
      </c>
      <c r="V683" s="176"/>
      <c r="W683" s="43" t="s">
        <v>511</v>
      </c>
      <c r="X683" s="66" t="s">
        <v>1373</v>
      </c>
      <c r="Y683" s="5" t="s">
        <v>39</v>
      </c>
      <c r="Z683" s="5"/>
      <c r="AA683" s="64"/>
      <c r="AB683" s="193" t="s">
        <v>3499</v>
      </c>
      <c r="AC683" s="8" t="s">
        <v>3500</v>
      </c>
      <c r="AD683" s="70" t="s">
        <v>339</v>
      </c>
      <c r="AE683" s="229">
        <v>80000</v>
      </c>
      <c r="AF683" s="1360"/>
    </row>
    <row r="684" spans="1:51" s="34" customFormat="1" ht="57.6" customHeight="1">
      <c r="A684" s="852"/>
      <c r="B684" s="141"/>
      <c r="C684" s="67"/>
      <c r="D684" s="5" t="s">
        <v>29</v>
      </c>
      <c r="E684" s="5"/>
      <c r="F684" s="5"/>
      <c r="G684" s="5"/>
      <c r="H684" s="5" t="s">
        <v>3174</v>
      </c>
      <c r="I684" s="5" t="s">
        <v>34</v>
      </c>
      <c r="J684" s="16" t="s">
        <v>3501</v>
      </c>
      <c r="K684" s="16"/>
      <c r="L684" s="16"/>
      <c r="M684" s="176">
        <v>43564</v>
      </c>
      <c r="N684" s="176"/>
      <c r="O684" s="176">
        <v>43922</v>
      </c>
      <c r="P684" s="12">
        <v>24</v>
      </c>
      <c r="Q684" s="12" t="s">
        <v>366</v>
      </c>
      <c r="R684" s="18">
        <v>160000</v>
      </c>
      <c r="S684" s="1335" t="s">
        <v>109</v>
      </c>
      <c r="T684" s="26" t="s">
        <v>35</v>
      </c>
      <c r="U684" s="12" t="s">
        <v>35</v>
      </c>
      <c r="V684" s="12"/>
      <c r="W684" s="5" t="s">
        <v>2584</v>
      </c>
      <c r="X684" s="5" t="s">
        <v>2919</v>
      </c>
      <c r="Y684" s="5" t="s">
        <v>39</v>
      </c>
      <c r="Z684" s="5"/>
      <c r="AA684" s="5"/>
      <c r="AB684" s="193" t="s">
        <v>3429</v>
      </c>
      <c r="AC684" s="8" t="s">
        <v>3502</v>
      </c>
      <c r="AD684" s="70" t="s">
        <v>339</v>
      </c>
      <c r="AE684" s="215"/>
      <c r="AF684" s="1"/>
    </row>
    <row r="685" spans="1:51" s="1" customFormat="1" ht="72">
      <c r="A685" s="888"/>
      <c r="B685" s="57"/>
      <c r="C685" s="67" t="s">
        <v>35</v>
      </c>
      <c r="D685" s="9" t="s">
        <v>29</v>
      </c>
      <c r="E685" s="9"/>
      <c r="F685" s="9"/>
      <c r="G685" s="9"/>
      <c r="H685" s="5" t="s">
        <v>336</v>
      </c>
      <c r="I685" s="5" t="s">
        <v>34</v>
      </c>
      <c r="J685" s="16" t="s">
        <v>394</v>
      </c>
      <c r="K685" s="16"/>
      <c r="L685" s="5" t="e">
        <f>IF(OR(S685=#REF!,S685=#REF!,S685=#REF!,S685=#REF!,S685=#REF!,S685=#REF!,S685=#REF!,S685=#REF!),12,IF(OR(S685=#REF!,S685=#REF!,S685=#REF!,S685=#REF!,S685=#REF!,S685=#REF!,S685=#REF!),3,IF(S685=#REF!,1,IF(S685=#REF!,18,IF(OR(S685=#REF!,S685=#REF!,S685=#REF!,S685=#REF!,S685=#REF!),14,"Invalid proposed procurement method")))))</f>
        <v>#REF!</v>
      </c>
      <c r="M685" s="193" t="str">
        <f>IFERROR(EDATE($N685,-3),"Invalid procurement method or date entered")</f>
        <v>Invalid procurement method or date entered</v>
      </c>
      <c r="N685" s="193" t="str">
        <f>IFERROR(EDATE(O685,-L685),"Invalid procurement method or date entered")</f>
        <v>Invalid procurement method or date entered</v>
      </c>
      <c r="O685" s="176">
        <v>43922</v>
      </c>
      <c r="P685" s="12">
        <v>12</v>
      </c>
      <c r="Q685" s="12">
        <v>12</v>
      </c>
      <c r="R685" s="18">
        <v>24616</v>
      </c>
      <c r="S685" s="1335" t="s">
        <v>909</v>
      </c>
      <c r="T685" s="26" t="s">
        <v>54</v>
      </c>
      <c r="U685" s="14" t="s">
        <v>37</v>
      </c>
      <c r="V685" s="14"/>
      <c r="W685" s="5" t="s">
        <v>396</v>
      </c>
      <c r="X685" s="5" t="s">
        <v>219</v>
      </c>
      <c r="Y685" s="5" t="s">
        <v>39</v>
      </c>
      <c r="Z685" s="5"/>
      <c r="AA685" s="5" t="s">
        <v>54</v>
      </c>
      <c r="AB685" s="193" t="s">
        <v>1250</v>
      </c>
      <c r="AC685" s="8" t="s">
        <v>3503</v>
      </c>
      <c r="AD685" s="70" t="s">
        <v>339</v>
      </c>
      <c r="AE685" s="215"/>
    </row>
    <row r="686" spans="1:51" s="1" customFormat="1" ht="86.4">
      <c r="A686" s="888"/>
      <c r="B686" s="57"/>
      <c r="C686" s="67" t="s">
        <v>3504</v>
      </c>
      <c r="D686" s="9" t="s">
        <v>60</v>
      </c>
      <c r="E686" s="9"/>
      <c r="F686" s="9"/>
      <c r="G686" s="9"/>
      <c r="H686" s="9" t="s">
        <v>63</v>
      </c>
      <c r="I686" s="5" t="s">
        <v>34</v>
      </c>
      <c r="J686" s="16" t="s">
        <v>3505</v>
      </c>
      <c r="K686" s="8"/>
      <c r="L686" s="5" t="e">
        <f>IF(OR(S686=#REF!,S686=#REF!,S686=#REF!,S686=#REF!,S686=#REF!,S686=#REF!,S686=#REF!,S686=#REF!),12,IF(OR(S686=#REF!,S686=#REF!,S686=#REF!,S686=#REF!,S686=#REF!,S686=#REF!,S686=#REF!),3,IF(S686=#REF!,1,IF(S686=#REF!,18,IF(OR(S686=#REF!,S686=#REF!,S686=#REF!,S686=#REF!,S686=#REF!),14,"Invalid proposed procurement method")))))</f>
        <v>#REF!</v>
      </c>
      <c r="M686" s="193" t="str">
        <f>IFERROR(EDATE($N686,-3),"Invalid procurement method or date entered")</f>
        <v>Invalid procurement method or date entered</v>
      </c>
      <c r="N686" s="193" t="str">
        <f>IFERROR(EDATE(O686,-L686),"Invalid procurement method or date entered")</f>
        <v>Invalid procurement method or date entered</v>
      </c>
      <c r="O686" s="193">
        <v>43922</v>
      </c>
      <c r="P686" s="5">
        <v>24</v>
      </c>
      <c r="Q686" s="5" t="s">
        <v>366</v>
      </c>
      <c r="R686" s="18">
        <v>21600</v>
      </c>
      <c r="S686" s="5" t="s">
        <v>909</v>
      </c>
      <c r="T686" s="1404" t="s">
        <v>54</v>
      </c>
      <c r="U686" s="1403" t="s">
        <v>37</v>
      </c>
      <c r="V686" s="1403"/>
      <c r="W686" s="5" t="s">
        <v>420</v>
      </c>
      <c r="X686" s="5" t="s">
        <v>1091</v>
      </c>
      <c r="Y686" s="5" t="s">
        <v>457</v>
      </c>
      <c r="Z686" s="5" t="s">
        <v>95</v>
      </c>
      <c r="AA686" s="9" t="s">
        <v>54</v>
      </c>
      <c r="AB686" s="193" t="s">
        <v>1269</v>
      </c>
      <c r="AC686" s="8" t="s">
        <v>3506</v>
      </c>
      <c r="AD686" s="70" t="s">
        <v>63</v>
      </c>
      <c r="AE686" s="1450">
        <v>10800</v>
      </c>
    </row>
    <row r="687" spans="1:51" s="1" customFormat="1" ht="43.35" customHeight="1">
      <c r="A687" s="454"/>
      <c r="B687" s="141" t="s">
        <v>28</v>
      </c>
      <c r="C687" s="67" t="s">
        <v>439</v>
      </c>
      <c r="D687" s="4" t="s">
        <v>60</v>
      </c>
      <c r="E687" s="4"/>
      <c r="F687" s="4"/>
      <c r="G687" s="4"/>
      <c r="H687" s="5" t="s">
        <v>260</v>
      </c>
      <c r="I687" s="8" t="s">
        <v>34</v>
      </c>
      <c r="J687" s="16" t="s">
        <v>1129</v>
      </c>
      <c r="K687" s="16"/>
      <c r="L687" s="16"/>
      <c r="M687" s="14">
        <v>42826</v>
      </c>
      <c r="N687" s="14"/>
      <c r="O687" s="14">
        <v>43922</v>
      </c>
      <c r="P687" s="12">
        <v>36</v>
      </c>
      <c r="Q687" s="5">
        <v>36</v>
      </c>
      <c r="R687" s="18">
        <v>15000</v>
      </c>
      <c r="S687" s="5" t="s">
        <v>2688</v>
      </c>
      <c r="T687" s="155" t="s">
        <v>54</v>
      </c>
      <c r="U687" s="4"/>
      <c r="V687" s="4"/>
      <c r="W687" s="5" t="s">
        <v>233</v>
      </c>
      <c r="X687" s="12" t="s">
        <v>2988</v>
      </c>
      <c r="Y687" s="5" t="s">
        <v>457</v>
      </c>
      <c r="Z687" s="5"/>
      <c r="AA687" s="5"/>
      <c r="AB687" s="5"/>
      <c r="AC687" s="78" t="s">
        <v>3507</v>
      </c>
      <c r="AE687" s="220"/>
    </row>
    <row r="688" spans="1:51" s="1" customFormat="1" ht="28.8">
      <c r="A688" s="1364"/>
      <c r="B688" s="420" t="s">
        <v>145</v>
      </c>
      <c r="C688" s="426"/>
      <c r="D688" s="360" t="s">
        <v>82</v>
      </c>
      <c r="E688" s="360"/>
      <c r="F688" s="360"/>
      <c r="G688" s="360"/>
      <c r="H688" s="360" t="s">
        <v>316</v>
      </c>
      <c r="I688" s="360" t="s">
        <v>34</v>
      </c>
      <c r="J688" s="1029" t="s">
        <v>1259</v>
      </c>
      <c r="K688" s="360"/>
      <c r="L688" s="360"/>
      <c r="M688" s="335">
        <v>43191</v>
      </c>
      <c r="N688" s="360"/>
      <c r="O688" s="335">
        <v>43922</v>
      </c>
      <c r="P688" s="337">
        <v>36</v>
      </c>
      <c r="Q688" s="431">
        <v>36</v>
      </c>
      <c r="R688" s="339">
        <v>582900</v>
      </c>
      <c r="S688" s="362" t="s">
        <v>109</v>
      </c>
      <c r="T688" s="431" t="s">
        <v>41</v>
      </c>
      <c r="U688" s="335">
        <v>43858</v>
      </c>
      <c r="V688" s="335"/>
      <c r="W688" s="360" t="s">
        <v>427</v>
      </c>
      <c r="X688" s="360" t="s">
        <v>428</v>
      </c>
      <c r="Y688" s="360" t="s">
        <v>1266</v>
      </c>
      <c r="Z688" s="360"/>
      <c r="AA688" s="364" t="s">
        <v>41</v>
      </c>
      <c r="AB688" s="365">
        <v>43920</v>
      </c>
      <c r="AC688" s="366" t="s">
        <v>3508</v>
      </c>
      <c r="AD688" s="367"/>
      <c r="AE688" s="455"/>
    </row>
    <row r="689" spans="1:51" s="1" customFormat="1" ht="28.8">
      <c r="A689" s="899"/>
      <c r="B689" s="141" t="s">
        <v>28</v>
      </c>
      <c r="C689" s="67" t="s">
        <v>3509</v>
      </c>
      <c r="D689" s="5" t="s">
        <v>29</v>
      </c>
      <c r="E689" s="5"/>
      <c r="F689" s="5"/>
      <c r="G689" s="5"/>
      <c r="H689" s="5" t="s">
        <v>70</v>
      </c>
      <c r="I689" s="5" t="s">
        <v>64</v>
      </c>
      <c r="J689" s="16" t="s">
        <v>3510</v>
      </c>
      <c r="K689" s="8"/>
      <c r="L689" s="8"/>
      <c r="M689" s="193">
        <v>43192</v>
      </c>
      <c r="N689" s="193"/>
      <c r="O689" s="193">
        <v>43922</v>
      </c>
      <c r="P689" s="5">
        <v>120</v>
      </c>
      <c r="Q689" s="25" t="s">
        <v>3511</v>
      </c>
      <c r="R689" s="18">
        <v>4000000</v>
      </c>
      <c r="S689" s="193" t="s">
        <v>66</v>
      </c>
      <c r="T689" s="157" t="s">
        <v>41</v>
      </c>
      <c r="U689" s="176">
        <v>43916</v>
      </c>
      <c r="V689" s="176"/>
      <c r="W689" s="5" t="s">
        <v>1290</v>
      </c>
      <c r="X689" s="5" t="s">
        <v>1053</v>
      </c>
      <c r="Y689" s="5" t="s">
        <v>457</v>
      </c>
      <c r="Z689" s="5"/>
      <c r="AA689" s="5"/>
      <c r="AB689" s="193">
        <v>43924</v>
      </c>
      <c r="AC689" s="35" t="s">
        <v>1246</v>
      </c>
      <c r="AD689" s="70" t="s">
        <v>3512</v>
      </c>
      <c r="AE689" s="158"/>
    </row>
    <row r="690" spans="1:51" s="1" customFormat="1" ht="28.8">
      <c r="A690" s="888"/>
      <c r="B690" s="141" t="s">
        <v>28</v>
      </c>
      <c r="C690" s="67" t="s">
        <v>3513</v>
      </c>
      <c r="D690" s="9" t="s">
        <v>82</v>
      </c>
      <c r="E690" s="9"/>
      <c r="F690" s="9"/>
      <c r="G690" s="9"/>
      <c r="H690" s="5" t="s">
        <v>70</v>
      </c>
      <c r="I690" s="12" t="s">
        <v>34</v>
      </c>
      <c r="J690" s="16" t="s">
        <v>753</v>
      </c>
      <c r="K690" s="8"/>
      <c r="L690" s="8"/>
      <c r="M690" s="176">
        <v>43244</v>
      </c>
      <c r="N690" s="176"/>
      <c r="O690" s="176">
        <v>43922</v>
      </c>
      <c r="P690" s="13" t="s">
        <v>648</v>
      </c>
      <c r="Q690" s="28" t="s">
        <v>648</v>
      </c>
      <c r="R690" s="18">
        <v>3000000</v>
      </c>
      <c r="S690" s="30" t="s">
        <v>98</v>
      </c>
      <c r="T690" s="155" t="s">
        <v>54</v>
      </c>
      <c r="U690" s="14" t="s">
        <v>540</v>
      </c>
      <c r="V690" s="14"/>
      <c r="W690" s="5" t="s">
        <v>117</v>
      </c>
      <c r="X690" s="5" t="s">
        <v>1053</v>
      </c>
      <c r="Y690" s="5" t="s">
        <v>457</v>
      </c>
      <c r="Z690" s="5"/>
      <c r="AA690" s="27"/>
      <c r="AB690" s="42">
        <v>43957</v>
      </c>
      <c r="AC690" s="32" t="s">
        <v>1246</v>
      </c>
      <c r="AD690" s="70" t="s">
        <v>1244</v>
      </c>
      <c r="AE690" s="215"/>
    </row>
    <row r="691" spans="1:51" s="1" customFormat="1" ht="28.8">
      <c r="A691" s="888"/>
      <c r="B691" s="141" t="s">
        <v>28</v>
      </c>
      <c r="C691" s="67" t="s">
        <v>3513</v>
      </c>
      <c r="D691" s="9" t="s">
        <v>82</v>
      </c>
      <c r="E691" s="9"/>
      <c r="F691" s="9"/>
      <c r="G691" s="9"/>
      <c r="H691" s="5" t="s">
        <v>70</v>
      </c>
      <c r="I691" s="12" t="s">
        <v>34</v>
      </c>
      <c r="J691" s="16" t="s">
        <v>753</v>
      </c>
      <c r="K691" s="8"/>
      <c r="L691" s="8"/>
      <c r="M691" s="176">
        <v>43244</v>
      </c>
      <c r="N691" s="176"/>
      <c r="O691" s="176">
        <v>43922</v>
      </c>
      <c r="P691" s="13" t="s">
        <v>648</v>
      </c>
      <c r="Q691" s="13" t="s">
        <v>648</v>
      </c>
      <c r="R691" s="18">
        <v>3000000</v>
      </c>
      <c r="S691" s="5" t="s">
        <v>98</v>
      </c>
      <c r="T691" s="155" t="s">
        <v>54</v>
      </c>
      <c r="U691" s="14" t="s">
        <v>540</v>
      </c>
      <c r="V691" s="14"/>
      <c r="W691" s="5" t="s">
        <v>117</v>
      </c>
      <c r="X691" s="5" t="s">
        <v>1053</v>
      </c>
      <c r="Y691" s="5" t="s">
        <v>457</v>
      </c>
      <c r="Z691" s="5"/>
      <c r="AA691" s="12"/>
      <c r="AB691" s="193">
        <v>43957</v>
      </c>
      <c r="AC691" s="32" t="s">
        <v>1246</v>
      </c>
      <c r="AD691" s="70" t="s">
        <v>1244</v>
      </c>
      <c r="AE691" s="215"/>
    </row>
    <row r="692" spans="1:51" s="1" customFormat="1" ht="57.6" customHeight="1">
      <c r="A692" s="888"/>
      <c r="B692" s="420" t="s">
        <v>145</v>
      </c>
      <c r="C692" s="425" t="s">
        <v>423</v>
      </c>
      <c r="D692" s="8" t="s">
        <v>82</v>
      </c>
      <c r="E692" s="8"/>
      <c r="F692" s="8"/>
      <c r="G692" s="8"/>
      <c r="H692" s="8" t="s">
        <v>148</v>
      </c>
      <c r="I692" s="8" t="s">
        <v>34</v>
      </c>
      <c r="J692" s="16" t="s">
        <v>3514</v>
      </c>
      <c r="K692" s="8"/>
      <c r="L692" s="8"/>
      <c r="M692" s="328">
        <v>43313</v>
      </c>
      <c r="N692" s="8"/>
      <c r="O692" s="328">
        <v>43922</v>
      </c>
      <c r="P692" s="330">
        <v>36</v>
      </c>
      <c r="Q692" s="343">
        <v>36</v>
      </c>
      <c r="R692" s="153">
        <v>99000</v>
      </c>
      <c r="S692" s="347" t="s">
        <v>163</v>
      </c>
      <c r="T692" s="436" t="s">
        <v>54</v>
      </c>
      <c r="U692" s="326" t="s">
        <v>43</v>
      </c>
      <c r="V692" s="326"/>
      <c r="W692" s="8" t="s">
        <v>1248</v>
      </c>
      <c r="X692" s="8" t="s">
        <v>687</v>
      </c>
      <c r="Y692" s="8" t="s">
        <v>179</v>
      </c>
      <c r="Z692" s="8"/>
      <c r="AA692" s="327"/>
      <c r="AB692" s="327"/>
      <c r="AC692" s="389" t="s">
        <v>3515</v>
      </c>
      <c r="AD692" s="396"/>
      <c r="AE692" s="445"/>
    </row>
    <row r="693" spans="1:51" s="1" customFormat="1" ht="28.8">
      <c r="A693" s="888"/>
      <c r="B693" s="141" t="s">
        <v>28</v>
      </c>
      <c r="C693" s="1440" t="s">
        <v>3516</v>
      </c>
      <c r="D693" s="8" t="s">
        <v>29</v>
      </c>
      <c r="E693" s="8"/>
      <c r="F693" s="8"/>
      <c r="G693" s="8"/>
      <c r="H693" s="5" t="s">
        <v>70</v>
      </c>
      <c r="I693" s="12" t="s">
        <v>34</v>
      </c>
      <c r="J693" s="16" t="s">
        <v>3517</v>
      </c>
      <c r="K693" s="16"/>
      <c r="L693" s="16"/>
      <c r="M693" s="176">
        <v>43313</v>
      </c>
      <c r="N693" s="176"/>
      <c r="O693" s="176">
        <v>43922</v>
      </c>
      <c r="P693" s="12">
        <v>36</v>
      </c>
      <c r="Q693" s="25" t="s">
        <v>488</v>
      </c>
      <c r="R693" s="39">
        <v>81480</v>
      </c>
      <c r="S693" s="30" t="s">
        <v>109</v>
      </c>
      <c r="T693" s="27" t="s">
        <v>54</v>
      </c>
      <c r="U693" s="168"/>
      <c r="V693" s="168"/>
      <c r="W693" s="12" t="s">
        <v>3518</v>
      </c>
      <c r="X693" s="5" t="s">
        <v>150</v>
      </c>
      <c r="Y693" s="5" t="s">
        <v>457</v>
      </c>
      <c r="Z693" s="5"/>
      <c r="AA693" s="5"/>
      <c r="AB693" s="193">
        <v>43472</v>
      </c>
      <c r="AC693" s="8" t="s">
        <v>1246</v>
      </c>
      <c r="AD693" s="105"/>
      <c r="AE693" s="215"/>
      <c r="AF693" s="3"/>
    </row>
    <row r="694" spans="1:51" s="1" customFormat="1" ht="72">
      <c r="A694" s="888"/>
      <c r="B694" s="420" t="s">
        <v>145</v>
      </c>
      <c r="C694" s="426"/>
      <c r="D694" s="360" t="s">
        <v>82</v>
      </c>
      <c r="E694" s="360"/>
      <c r="F694" s="360"/>
      <c r="G694" s="360"/>
      <c r="H694" s="360" t="s">
        <v>148</v>
      </c>
      <c r="I694" s="360" t="s">
        <v>34</v>
      </c>
      <c r="J694" s="1029" t="s">
        <v>771</v>
      </c>
      <c r="K694" s="360"/>
      <c r="L694" s="360"/>
      <c r="M694" s="335">
        <v>43405</v>
      </c>
      <c r="N694" s="360"/>
      <c r="O694" s="335">
        <v>43922</v>
      </c>
      <c r="P694" s="337">
        <v>60</v>
      </c>
      <c r="Q694" s="337" t="s">
        <v>358</v>
      </c>
      <c r="R694" s="362">
        <v>3861540</v>
      </c>
      <c r="S694" s="362" t="s">
        <v>109</v>
      </c>
      <c r="T694" s="434" t="s">
        <v>41</v>
      </c>
      <c r="U694" s="335">
        <v>43851</v>
      </c>
      <c r="V694" s="335"/>
      <c r="W694" s="360" t="s">
        <v>530</v>
      </c>
      <c r="X694" s="360" t="s">
        <v>428</v>
      </c>
      <c r="Y694" s="360" t="s">
        <v>39</v>
      </c>
      <c r="Z694" s="360"/>
      <c r="AA694" s="364" t="s">
        <v>41</v>
      </c>
      <c r="AB694" s="365">
        <v>43963</v>
      </c>
      <c r="AC694" s="366" t="s">
        <v>3519</v>
      </c>
      <c r="AD694" s="367"/>
      <c r="AE694" s="455"/>
    </row>
    <row r="695" spans="1:51" s="1" customFormat="1" ht="43.2">
      <c r="A695" s="888"/>
      <c r="B695" s="141" t="s">
        <v>28</v>
      </c>
      <c r="C695" s="67" t="s">
        <v>3520</v>
      </c>
      <c r="D695" s="5" t="s">
        <v>29</v>
      </c>
      <c r="E695" s="5"/>
      <c r="F695" s="5"/>
      <c r="G695" s="5"/>
      <c r="H695" s="5" t="s">
        <v>70</v>
      </c>
      <c r="I695" s="12" t="s">
        <v>34</v>
      </c>
      <c r="J695" s="16" t="s">
        <v>3521</v>
      </c>
      <c r="K695" s="8"/>
      <c r="L695" s="8"/>
      <c r="M695" s="14">
        <v>43497</v>
      </c>
      <c r="N695" s="14"/>
      <c r="O695" s="14">
        <v>43922</v>
      </c>
      <c r="P695" s="12">
        <v>36</v>
      </c>
      <c r="Q695" s="5" t="s">
        <v>236</v>
      </c>
      <c r="R695" s="18">
        <v>165000</v>
      </c>
      <c r="S695" s="5" t="s">
        <v>1163</v>
      </c>
      <c r="T695" s="26" t="s">
        <v>36</v>
      </c>
      <c r="U695" s="12" t="s">
        <v>35</v>
      </c>
      <c r="V695" s="12"/>
      <c r="W695" s="5" t="s">
        <v>286</v>
      </c>
      <c r="X695" s="5" t="s">
        <v>1053</v>
      </c>
      <c r="Y695" s="5" t="s">
        <v>457</v>
      </c>
      <c r="Z695" s="5"/>
      <c r="AA695" s="5"/>
      <c r="AB695" s="193">
        <v>43917</v>
      </c>
      <c r="AC695" s="8" t="s">
        <v>1246</v>
      </c>
      <c r="AD695" s="70" t="s">
        <v>3483</v>
      </c>
      <c r="AE695" s="158"/>
    </row>
    <row r="696" spans="1:51" s="1" customFormat="1" ht="43.35" customHeight="1">
      <c r="A696" s="888"/>
      <c r="B696" s="141" t="s">
        <v>28</v>
      </c>
      <c r="C696" s="67" t="s">
        <v>1332</v>
      </c>
      <c r="D696" s="5" t="s">
        <v>60</v>
      </c>
      <c r="E696" s="5"/>
      <c r="F696" s="5"/>
      <c r="G696" s="5"/>
      <c r="H696" s="5" t="s">
        <v>336</v>
      </c>
      <c r="I696" s="12" t="s">
        <v>34</v>
      </c>
      <c r="J696" s="16" t="s">
        <v>337</v>
      </c>
      <c r="K696" s="16"/>
      <c r="L696" s="16"/>
      <c r="M696" s="176">
        <v>43556</v>
      </c>
      <c r="N696" s="176"/>
      <c r="O696" s="176">
        <v>43922</v>
      </c>
      <c r="P696" s="12">
        <v>48</v>
      </c>
      <c r="Q696" s="7" t="s">
        <v>298</v>
      </c>
      <c r="R696" s="18">
        <v>100000</v>
      </c>
      <c r="S696" s="5" t="s">
        <v>163</v>
      </c>
      <c r="T696" s="26" t="s">
        <v>54</v>
      </c>
      <c r="U696" s="176" t="s">
        <v>37</v>
      </c>
      <c r="V696" s="176"/>
      <c r="W696" s="12" t="s">
        <v>338</v>
      </c>
      <c r="X696" s="5" t="s">
        <v>1097</v>
      </c>
      <c r="Y696" s="5" t="s">
        <v>457</v>
      </c>
      <c r="Z696" s="5"/>
      <c r="AA696" s="12"/>
      <c r="AB696" s="193">
        <v>43948</v>
      </c>
      <c r="AC696" s="8" t="s">
        <v>3522</v>
      </c>
      <c r="AD696" s="70" t="s">
        <v>339</v>
      </c>
      <c r="AE696" s="215"/>
    </row>
    <row r="697" spans="1:51" s="282" customFormat="1" ht="43.2">
      <c r="A697" s="1364"/>
      <c r="B697" s="141" t="s">
        <v>28</v>
      </c>
      <c r="C697" s="67" t="s">
        <v>1274</v>
      </c>
      <c r="D697" s="8" t="s">
        <v>29</v>
      </c>
      <c r="E697" s="8"/>
      <c r="F697" s="8"/>
      <c r="G697" s="8"/>
      <c r="H697" s="5" t="s">
        <v>1292</v>
      </c>
      <c r="I697" s="86" t="s">
        <v>64</v>
      </c>
      <c r="J697" s="16" t="s">
        <v>1094</v>
      </c>
      <c r="K697" s="16"/>
      <c r="L697" s="16"/>
      <c r="M697" s="84">
        <v>43556</v>
      </c>
      <c r="N697" s="84"/>
      <c r="O697" s="84">
        <v>43922</v>
      </c>
      <c r="P697" s="85">
        <v>60</v>
      </c>
      <c r="Q697" s="86" t="s">
        <v>1095</v>
      </c>
      <c r="R697" s="18">
        <v>25000</v>
      </c>
      <c r="S697" s="5" t="s">
        <v>66</v>
      </c>
      <c r="T697" s="156" t="s">
        <v>54</v>
      </c>
      <c r="U697" s="4"/>
      <c r="V697" s="4"/>
      <c r="W697" s="5" t="s">
        <v>1096</v>
      </c>
      <c r="X697" s="5" t="s">
        <v>94</v>
      </c>
      <c r="Y697" s="5" t="s">
        <v>457</v>
      </c>
      <c r="Z697" s="5"/>
      <c r="AA697" s="5"/>
      <c r="AB697" s="193">
        <v>43585</v>
      </c>
      <c r="AC697" s="8" t="s">
        <v>3523</v>
      </c>
      <c r="AD697" s="1"/>
      <c r="AE697" s="158"/>
      <c r="AF697" s="1"/>
      <c r="AG697" s="1360"/>
      <c r="AH697" s="1360"/>
      <c r="AI697" s="1360"/>
      <c r="AJ697" s="1360"/>
      <c r="AK697" s="1360"/>
      <c r="AL697" s="1360"/>
      <c r="AM697" s="1360"/>
      <c r="AN697" s="1360"/>
      <c r="AO697" s="1360"/>
      <c r="AP697" s="1360"/>
      <c r="AQ697" s="1360"/>
      <c r="AR697" s="1360"/>
      <c r="AS697" s="1360"/>
      <c r="AT697" s="1360"/>
      <c r="AU697" s="1360"/>
      <c r="AV697" s="1360"/>
      <c r="AW697" s="1360"/>
      <c r="AX697" s="1360"/>
      <c r="AY697" s="1360"/>
    </row>
    <row r="698" spans="1:51" s="282" customFormat="1" ht="43.2">
      <c r="A698" s="1364"/>
      <c r="B698" s="141" t="s">
        <v>28</v>
      </c>
      <c r="C698" s="67" t="s">
        <v>3524</v>
      </c>
      <c r="D698" s="10" t="s">
        <v>29</v>
      </c>
      <c r="E698" s="10"/>
      <c r="F698" s="10"/>
      <c r="G698" s="10"/>
      <c r="H698" s="5" t="s">
        <v>133</v>
      </c>
      <c r="I698" s="5" t="s">
        <v>50</v>
      </c>
      <c r="J698" s="16" t="s">
        <v>461</v>
      </c>
      <c r="K698" s="16"/>
      <c r="L698" s="16"/>
      <c r="M698" s="176">
        <v>43556</v>
      </c>
      <c r="N698" s="176"/>
      <c r="O698" s="176">
        <v>43922</v>
      </c>
      <c r="P698" s="12">
        <v>36</v>
      </c>
      <c r="Q698" s="12">
        <v>36</v>
      </c>
      <c r="R698" s="18">
        <v>100800</v>
      </c>
      <c r="S698" s="5" t="s">
        <v>66</v>
      </c>
      <c r="T698" s="27" t="s">
        <v>54</v>
      </c>
      <c r="U698" s="4"/>
      <c r="V698" s="4"/>
      <c r="W698" s="5" t="s">
        <v>462</v>
      </c>
      <c r="X698" s="5" t="s">
        <v>234</v>
      </c>
      <c r="Y698" s="5" t="s">
        <v>457</v>
      </c>
      <c r="Z698" s="5"/>
      <c r="AA698" s="5"/>
      <c r="AB698" s="193">
        <v>43601</v>
      </c>
      <c r="AC698" s="8" t="s">
        <v>3525</v>
      </c>
      <c r="AD698" s="1"/>
      <c r="AE698" s="215">
        <v>33600</v>
      </c>
      <c r="AF698" s="1"/>
      <c r="AG698" s="1360"/>
      <c r="AH698" s="1360"/>
      <c r="AI698" s="1360"/>
      <c r="AJ698" s="1360"/>
      <c r="AK698" s="1360"/>
      <c r="AL698" s="1360"/>
      <c r="AM698" s="1360"/>
      <c r="AN698" s="1360"/>
      <c r="AO698" s="1360"/>
      <c r="AP698" s="1360"/>
      <c r="AQ698" s="1360"/>
      <c r="AR698" s="1360"/>
      <c r="AS698" s="1360"/>
      <c r="AT698" s="1360"/>
      <c r="AU698" s="1360"/>
      <c r="AV698" s="1360"/>
      <c r="AW698" s="1360"/>
      <c r="AX698" s="1360"/>
      <c r="AY698" s="1360"/>
    </row>
    <row r="699" spans="1:51" s="1" customFormat="1" ht="28.8">
      <c r="A699" s="888"/>
      <c r="B699" s="141" t="s">
        <v>28</v>
      </c>
      <c r="C699" s="240" t="s">
        <v>3526</v>
      </c>
      <c r="D699" s="5" t="s">
        <v>29</v>
      </c>
      <c r="E699" s="5"/>
      <c r="F699" s="5"/>
      <c r="G699" s="5"/>
      <c r="H699" s="5" t="s">
        <v>70</v>
      </c>
      <c r="I699" s="12" t="s">
        <v>64</v>
      </c>
      <c r="J699" s="16" t="s">
        <v>3527</v>
      </c>
      <c r="K699" s="16"/>
      <c r="L699" s="16"/>
      <c r="M699" s="176">
        <v>43556</v>
      </c>
      <c r="N699" s="176"/>
      <c r="O699" s="176">
        <v>43922</v>
      </c>
      <c r="P699" s="12">
        <v>48</v>
      </c>
      <c r="Q699" s="13" t="s">
        <v>1316</v>
      </c>
      <c r="R699" s="18">
        <v>147961</v>
      </c>
      <c r="S699" s="5" t="s">
        <v>66</v>
      </c>
      <c r="T699" s="27" t="s">
        <v>54</v>
      </c>
      <c r="U699" s="4"/>
      <c r="V699" s="4"/>
      <c r="W699" s="12" t="s">
        <v>1121</v>
      </c>
      <c r="X699" s="5" t="s">
        <v>150</v>
      </c>
      <c r="Y699" s="5" t="s">
        <v>39</v>
      </c>
      <c r="Z699" s="5"/>
      <c r="AA699" s="7"/>
      <c r="AB699" s="1337">
        <v>43766</v>
      </c>
      <c r="AC699" s="8" t="s">
        <v>3528</v>
      </c>
      <c r="AE699" s="158"/>
    </row>
    <row r="700" spans="1:51" s="1" customFormat="1" ht="57.6">
      <c r="A700" s="888"/>
      <c r="B700" s="141" t="s">
        <v>28</v>
      </c>
      <c r="C700" s="67" t="s">
        <v>3529</v>
      </c>
      <c r="D700" s="5" t="s">
        <v>29</v>
      </c>
      <c r="E700" s="5"/>
      <c r="F700" s="5"/>
      <c r="G700" s="5"/>
      <c r="H700" s="5" t="s">
        <v>45</v>
      </c>
      <c r="I700" s="5" t="s">
        <v>34</v>
      </c>
      <c r="J700" s="16" t="s">
        <v>2777</v>
      </c>
      <c r="K700" s="16"/>
      <c r="L700" s="16"/>
      <c r="M700" s="176">
        <v>43570</v>
      </c>
      <c r="N700" s="176"/>
      <c r="O700" s="176">
        <v>43922</v>
      </c>
      <c r="P700" s="12">
        <v>24</v>
      </c>
      <c r="Q700" s="25" t="s">
        <v>365</v>
      </c>
      <c r="R700" s="18">
        <v>4550000</v>
      </c>
      <c r="S700" s="1338" t="s">
        <v>98</v>
      </c>
      <c r="T700" s="26" t="s">
        <v>41</v>
      </c>
      <c r="U700" s="176">
        <v>43916</v>
      </c>
      <c r="V700" s="176"/>
      <c r="W700" s="5" t="s">
        <v>3530</v>
      </c>
      <c r="X700" s="5" t="s">
        <v>1053</v>
      </c>
      <c r="Y700" s="5" t="s">
        <v>457</v>
      </c>
      <c r="Z700" s="5"/>
      <c r="AA700" s="5"/>
      <c r="AB700" s="193">
        <v>43928</v>
      </c>
      <c r="AC700" s="8" t="s">
        <v>1246</v>
      </c>
      <c r="AD700" s="70" t="s">
        <v>45</v>
      </c>
      <c r="AE700" s="215"/>
    </row>
    <row r="701" spans="1:51" s="1" customFormat="1" ht="57.6">
      <c r="A701" s="888"/>
      <c r="B701" s="141" t="s">
        <v>28</v>
      </c>
      <c r="C701" s="67" t="s">
        <v>3531</v>
      </c>
      <c r="D701" s="9" t="s">
        <v>60</v>
      </c>
      <c r="E701" s="9"/>
      <c r="F701" s="9"/>
      <c r="G701" s="9"/>
      <c r="H701" s="5" t="s">
        <v>171</v>
      </c>
      <c r="I701" s="12" t="s">
        <v>34</v>
      </c>
      <c r="J701" s="16" t="s">
        <v>888</v>
      </c>
      <c r="K701" s="16"/>
      <c r="L701" s="16"/>
      <c r="M701" s="176">
        <v>43586</v>
      </c>
      <c r="N701" s="176"/>
      <c r="O701" s="176">
        <v>43922</v>
      </c>
      <c r="P701" s="72">
        <v>48</v>
      </c>
      <c r="Q701" s="72">
        <v>48</v>
      </c>
      <c r="R701" s="18" t="s">
        <v>889</v>
      </c>
      <c r="S701" s="176" t="s">
        <v>98</v>
      </c>
      <c r="T701" s="161" t="s">
        <v>41</v>
      </c>
      <c r="U701" s="4"/>
      <c r="V701" s="4"/>
      <c r="W701" s="5" t="s">
        <v>3532</v>
      </c>
      <c r="X701" s="5" t="s">
        <v>1097</v>
      </c>
      <c r="Y701" s="5" t="s">
        <v>457</v>
      </c>
      <c r="Z701" s="5"/>
      <c r="AA701" s="12"/>
      <c r="AB701" s="193">
        <v>43839</v>
      </c>
      <c r="AC701" s="32" t="s">
        <v>3533</v>
      </c>
      <c r="AE701" s="158" t="s">
        <v>889</v>
      </c>
    </row>
    <row r="702" spans="1:51" s="1" customFormat="1" ht="86.4">
      <c r="A702" s="888"/>
      <c r="B702" s="141" t="s">
        <v>28</v>
      </c>
      <c r="C702" s="67"/>
      <c r="D702" s="9" t="s">
        <v>29</v>
      </c>
      <c r="E702" s="9"/>
      <c r="F702" s="9"/>
      <c r="G702" s="9"/>
      <c r="H702" s="5" t="s">
        <v>70</v>
      </c>
      <c r="I702" s="5" t="s">
        <v>34</v>
      </c>
      <c r="J702" s="16" t="s">
        <v>2821</v>
      </c>
      <c r="K702" s="16"/>
      <c r="L702" s="16"/>
      <c r="M702" s="176">
        <v>43617</v>
      </c>
      <c r="N702" s="176"/>
      <c r="O702" s="176">
        <v>43922</v>
      </c>
      <c r="P702" s="12">
        <v>48</v>
      </c>
      <c r="Q702" s="13" t="s">
        <v>191</v>
      </c>
      <c r="R702" s="18">
        <v>85000</v>
      </c>
      <c r="S702" s="5" t="s">
        <v>1163</v>
      </c>
      <c r="T702" s="161" t="s">
        <v>36</v>
      </c>
      <c r="U702" s="4"/>
      <c r="V702" s="4"/>
      <c r="W702" s="5" t="s">
        <v>3534</v>
      </c>
      <c r="X702" s="43" t="s">
        <v>150</v>
      </c>
      <c r="Y702" s="5" t="s">
        <v>59</v>
      </c>
      <c r="Z702" s="5"/>
      <c r="AA702" s="5"/>
      <c r="AB702" s="193">
        <v>43801</v>
      </c>
      <c r="AC702" s="78" t="s">
        <v>3535</v>
      </c>
      <c r="AD702"/>
      <c r="AE702" s="215">
        <v>20471</v>
      </c>
      <c r="AF702" s="1360"/>
    </row>
    <row r="703" spans="1:51" s="1" customFormat="1" ht="57.6" customHeight="1">
      <c r="A703" s="888"/>
      <c r="B703" s="141" t="s">
        <v>28</v>
      </c>
      <c r="C703" s="67" t="s">
        <v>3019</v>
      </c>
      <c r="D703" s="5" t="s">
        <v>82</v>
      </c>
      <c r="E703" s="5"/>
      <c r="F703" s="5"/>
      <c r="G703" s="5"/>
      <c r="H703" s="5" t="s">
        <v>70</v>
      </c>
      <c r="I703" s="5" t="s">
        <v>64</v>
      </c>
      <c r="J703" s="16" t="s">
        <v>3536</v>
      </c>
      <c r="K703" s="16"/>
      <c r="L703" s="16"/>
      <c r="M703" s="176">
        <v>43617</v>
      </c>
      <c r="N703" s="176"/>
      <c r="O703" s="176">
        <v>43922</v>
      </c>
      <c r="P703" s="12">
        <v>12</v>
      </c>
      <c r="Q703" s="27">
        <v>12</v>
      </c>
      <c r="R703" s="18">
        <v>139356.47</v>
      </c>
      <c r="S703" s="30" t="s">
        <v>164</v>
      </c>
      <c r="T703" s="26" t="s">
        <v>36</v>
      </c>
      <c r="U703" s="4"/>
      <c r="V703" s="4"/>
      <c r="W703" s="5" t="s">
        <v>286</v>
      </c>
      <c r="X703" s="43" t="s">
        <v>1091</v>
      </c>
      <c r="Y703" s="5" t="s">
        <v>457</v>
      </c>
      <c r="Z703" s="5"/>
      <c r="AA703" s="5"/>
      <c r="AB703" s="193">
        <v>43893</v>
      </c>
      <c r="AC703" s="8" t="s">
        <v>3537</v>
      </c>
      <c r="AE703" s="158">
        <v>24935</v>
      </c>
      <c r="AF703" s="1360"/>
    </row>
    <row r="704" spans="1:51" s="1" customFormat="1" ht="43.35" customHeight="1">
      <c r="A704" s="1364"/>
      <c r="B704" s="141" t="s">
        <v>28</v>
      </c>
      <c r="C704" s="67" t="s">
        <v>3538</v>
      </c>
      <c r="D704" s="5" t="s">
        <v>29</v>
      </c>
      <c r="E704" s="5"/>
      <c r="F704" s="5"/>
      <c r="G704" s="5"/>
      <c r="H704" s="5" t="s">
        <v>70</v>
      </c>
      <c r="I704" s="5" t="s">
        <v>34</v>
      </c>
      <c r="J704" s="16" t="s">
        <v>3539</v>
      </c>
      <c r="K704" s="8"/>
      <c r="L704" s="8"/>
      <c r="M704" s="14">
        <v>43617</v>
      </c>
      <c r="N704" s="14"/>
      <c r="O704" s="14">
        <v>43922</v>
      </c>
      <c r="P704" s="12">
        <v>12</v>
      </c>
      <c r="Q704" s="26">
        <v>12</v>
      </c>
      <c r="R704" s="18">
        <v>28252</v>
      </c>
      <c r="S704" s="30" t="s">
        <v>109</v>
      </c>
      <c r="T704" s="26" t="s">
        <v>54</v>
      </c>
      <c r="U704" s="4"/>
      <c r="V704" s="4"/>
      <c r="W704" s="5" t="s">
        <v>3106</v>
      </c>
      <c r="X704" s="43" t="s">
        <v>1053</v>
      </c>
      <c r="Y704" s="5" t="s">
        <v>457</v>
      </c>
      <c r="Z704" s="5"/>
      <c r="AA704" s="5"/>
      <c r="AB704" s="193">
        <v>43901</v>
      </c>
      <c r="AC704" s="8" t="s">
        <v>1268</v>
      </c>
      <c r="AD704" s="70" t="s">
        <v>3483</v>
      </c>
      <c r="AE704" s="214">
        <v>28252</v>
      </c>
    </row>
    <row r="705" spans="1:32" s="34" customFormat="1" ht="187.2">
      <c r="A705" s="888"/>
      <c r="B705" s="420" t="s">
        <v>145</v>
      </c>
      <c r="C705" s="426"/>
      <c r="D705" s="360" t="s">
        <v>92</v>
      </c>
      <c r="E705" s="360"/>
      <c r="F705" s="360"/>
      <c r="G705" s="360"/>
      <c r="H705" s="360" t="s">
        <v>266</v>
      </c>
      <c r="I705" s="360" t="s">
        <v>64</v>
      </c>
      <c r="J705" s="1029" t="s">
        <v>408</v>
      </c>
      <c r="K705" s="360"/>
      <c r="L705" s="360"/>
      <c r="M705" s="335">
        <v>43647</v>
      </c>
      <c r="N705" s="360"/>
      <c r="O705" s="335">
        <v>43922</v>
      </c>
      <c r="P705" s="361">
        <v>120</v>
      </c>
      <c r="Q705" s="361" t="s">
        <v>358</v>
      </c>
      <c r="R705" s="362">
        <v>449658</v>
      </c>
      <c r="S705" s="363" t="s">
        <v>66</v>
      </c>
      <c r="T705" s="434" t="s">
        <v>35</v>
      </c>
      <c r="U705" s="363"/>
      <c r="V705" s="363"/>
      <c r="W705" s="360" t="s">
        <v>3461</v>
      </c>
      <c r="X705" s="360" t="s">
        <v>428</v>
      </c>
      <c r="Y705" s="360" t="s">
        <v>59</v>
      </c>
      <c r="Z705" s="360"/>
      <c r="AA705" s="364" t="s">
        <v>54</v>
      </c>
      <c r="AB705" s="365">
        <v>43962</v>
      </c>
      <c r="AC705" s="366" t="s">
        <v>3540</v>
      </c>
      <c r="AD705" s="367"/>
      <c r="AE705" s="455"/>
      <c r="AF705" s="1"/>
    </row>
    <row r="706" spans="1:32" s="1" customFormat="1" ht="28.8">
      <c r="A706" s="888"/>
      <c r="B706" s="420" t="s">
        <v>145</v>
      </c>
      <c r="C706" s="426"/>
      <c r="D706" s="360" t="s">
        <v>92</v>
      </c>
      <c r="E706" s="360"/>
      <c r="F706" s="360"/>
      <c r="G706" s="360"/>
      <c r="H706" s="360" t="s">
        <v>148</v>
      </c>
      <c r="I706" s="360" t="s">
        <v>64</v>
      </c>
      <c r="J706" s="1029" t="s">
        <v>3541</v>
      </c>
      <c r="K706" s="360"/>
      <c r="L706" s="360"/>
      <c r="M706" s="335">
        <v>43647</v>
      </c>
      <c r="N706" s="360"/>
      <c r="O706" s="335">
        <v>43922</v>
      </c>
      <c r="P706" s="361">
        <v>30</v>
      </c>
      <c r="Q706" s="361" t="s">
        <v>3542</v>
      </c>
      <c r="R706" s="362">
        <v>58951.5</v>
      </c>
      <c r="S706" s="362" t="s">
        <v>163</v>
      </c>
      <c r="T706" s="434" t="s">
        <v>54</v>
      </c>
      <c r="U706" s="363" t="s">
        <v>43</v>
      </c>
      <c r="V706" s="363"/>
      <c r="W706" s="380" t="s">
        <v>3543</v>
      </c>
      <c r="X706" s="360" t="s">
        <v>428</v>
      </c>
      <c r="Y706" s="360" t="s">
        <v>59</v>
      </c>
      <c r="Z706" s="360"/>
      <c r="AA706" s="364" t="s">
        <v>41</v>
      </c>
      <c r="AB706" s="365">
        <v>43962</v>
      </c>
      <c r="AC706" s="366" t="s">
        <v>3544</v>
      </c>
      <c r="AD706" s="367"/>
      <c r="AE706" s="455"/>
    </row>
    <row r="707" spans="1:32" s="1" customFormat="1" ht="57.6">
      <c r="A707" s="888"/>
      <c r="B707" s="141" t="s">
        <v>28</v>
      </c>
      <c r="C707" s="67" t="s">
        <v>3545</v>
      </c>
      <c r="D707" s="5" t="s">
        <v>60</v>
      </c>
      <c r="E707" s="5"/>
      <c r="F707" s="5"/>
      <c r="G707" s="5"/>
      <c r="H707" s="1335" t="s">
        <v>63</v>
      </c>
      <c r="I707" s="1335" t="s">
        <v>34</v>
      </c>
      <c r="J707" s="1339" t="s">
        <v>3546</v>
      </c>
      <c r="K707" s="1339"/>
      <c r="L707" s="1339"/>
      <c r="M707" s="14">
        <v>43647</v>
      </c>
      <c r="N707" s="14"/>
      <c r="O707" s="14">
        <v>43922</v>
      </c>
      <c r="P707" s="1330">
        <v>48</v>
      </c>
      <c r="Q707" s="1335" t="s">
        <v>191</v>
      </c>
      <c r="R707" s="18">
        <v>22217516.18</v>
      </c>
      <c r="S707" s="1335" t="s">
        <v>98</v>
      </c>
      <c r="T707" s="1458" t="s">
        <v>41</v>
      </c>
      <c r="U707" s="4"/>
      <c r="V707" s="4"/>
      <c r="W707" s="1335" t="s">
        <v>67</v>
      </c>
      <c r="X707" s="5" t="s">
        <v>1091</v>
      </c>
      <c r="Y707" s="5" t="s">
        <v>457</v>
      </c>
      <c r="Z707" s="5"/>
      <c r="AA707" s="5"/>
      <c r="AB707" s="193">
        <v>43872</v>
      </c>
      <c r="AC707" s="8" t="s">
        <v>3238</v>
      </c>
      <c r="AD707"/>
      <c r="AE707" s="214" t="s">
        <v>3547</v>
      </c>
    </row>
    <row r="708" spans="1:32" s="34" customFormat="1" ht="43.2">
      <c r="A708" s="888"/>
      <c r="B708" s="420" t="s">
        <v>145</v>
      </c>
      <c r="C708" s="426"/>
      <c r="D708" s="360" t="s">
        <v>82</v>
      </c>
      <c r="E708" s="360"/>
      <c r="F708" s="360"/>
      <c r="G708" s="360"/>
      <c r="H708" s="360" t="s">
        <v>148</v>
      </c>
      <c r="I708" s="360" t="s">
        <v>64</v>
      </c>
      <c r="J708" s="1029" t="s">
        <v>3548</v>
      </c>
      <c r="K708" s="360"/>
      <c r="L708" s="360"/>
      <c r="M708" s="335">
        <v>43678</v>
      </c>
      <c r="N708" s="360"/>
      <c r="O708" s="335">
        <v>43922</v>
      </c>
      <c r="P708" s="336">
        <v>36</v>
      </c>
      <c r="Q708" s="336" t="s">
        <v>3549</v>
      </c>
      <c r="R708" s="362">
        <v>174000</v>
      </c>
      <c r="S708" s="362" t="s">
        <v>217</v>
      </c>
      <c r="T708" s="434" t="s">
        <v>54</v>
      </c>
      <c r="U708" s="363" t="s">
        <v>43</v>
      </c>
      <c r="V708" s="363"/>
      <c r="W708" s="360" t="s">
        <v>592</v>
      </c>
      <c r="X708" s="360" t="s">
        <v>428</v>
      </c>
      <c r="Y708" s="360" t="s">
        <v>39</v>
      </c>
      <c r="Z708" s="360"/>
      <c r="AA708" s="364" t="s">
        <v>41</v>
      </c>
      <c r="AB708" s="365">
        <v>43902</v>
      </c>
      <c r="AC708" s="366" t="s">
        <v>3550</v>
      </c>
      <c r="AD708" s="367"/>
      <c r="AE708" s="455"/>
      <c r="AF708" s="1"/>
    </row>
    <row r="709" spans="1:32" s="1" customFormat="1" ht="28.8">
      <c r="A709" s="888"/>
      <c r="B709" s="420" t="s">
        <v>145</v>
      </c>
      <c r="C709" s="426"/>
      <c r="D709" s="360" t="s">
        <v>82</v>
      </c>
      <c r="E709" s="360"/>
      <c r="F709" s="360"/>
      <c r="G709" s="360"/>
      <c r="H709" s="360" t="s">
        <v>148</v>
      </c>
      <c r="I709" s="360" t="s">
        <v>64</v>
      </c>
      <c r="J709" s="1029" t="s">
        <v>3551</v>
      </c>
      <c r="K709" s="360"/>
      <c r="L709" s="360"/>
      <c r="M709" s="335">
        <v>43678</v>
      </c>
      <c r="N709" s="360"/>
      <c r="O709" s="335">
        <v>43922</v>
      </c>
      <c r="P709" s="336">
        <v>60</v>
      </c>
      <c r="Q709" s="336" t="s">
        <v>162</v>
      </c>
      <c r="R709" s="362">
        <v>1548915</v>
      </c>
      <c r="S709" s="362" t="s">
        <v>66</v>
      </c>
      <c r="T709" s="434" t="s">
        <v>41</v>
      </c>
      <c r="U709" s="363" t="s">
        <v>35</v>
      </c>
      <c r="V709" s="363"/>
      <c r="W709" s="360" t="s">
        <v>592</v>
      </c>
      <c r="X709" s="360" t="s">
        <v>428</v>
      </c>
      <c r="Y709" s="360" t="s">
        <v>39</v>
      </c>
      <c r="Z709" s="360"/>
      <c r="AA709" s="364" t="s">
        <v>41</v>
      </c>
      <c r="AB709" s="365">
        <v>43900</v>
      </c>
      <c r="AC709" s="366" t="s">
        <v>3552</v>
      </c>
      <c r="AD709" s="367"/>
      <c r="AE709" s="455"/>
    </row>
    <row r="710" spans="1:32" s="1" customFormat="1" ht="28.8">
      <c r="A710" s="888"/>
      <c r="B710" s="420" t="s">
        <v>145</v>
      </c>
      <c r="C710" s="426"/>
      <c r="D710" s="729" t="s">
        <v>92</v>
      </c>
      <c r="E710" s="729"/>
      <c r="F710" s="729"/>
      <c r="G710" s="729"/>
      <c r="H710" s="382" t="s">
        <v>266</v>
      </c>
      <c r="I710" s="382" t="s">
        <v>34</v>
      </c>
      <c r="J710" s="366" t="s">
        <v>3553</v>
      </c>
      <c r="K710" s="366"/>
      <c r="L710" s="366"/>
      <c r="M710" s="383">
        <v>43725</v>
      </c>
      <c r="N710" s="366"/>
      <c r="O710" s="383">
        <v>43922</v>
      </c>
      <c r="P710" s="361">
        <v>18</v>
      </c>
      <c r="Q710" s="361">
        <v>18</v>
      </c>
      <c r="R710" s="384">
        <v>770000</v>
      </c>
      <c r="S710" s="361" t="s">
        <v>163</v>
      </c>
      <c r="T710" s="432" t="s">
        <v>41</v>
      </c>
      <c r="U710" s="383">
        <v>43782</v>
      </c>
      <c r="V710" s="383"/>
      <c r="W710" s="366" t="s">
        <v>1302</v>
      </c>
      <c r="X710" s="366" t="s">
        <v>150</v>
      </c>
      <c r="Y710" s="366" t="s">
        <v>39</v>
      </c>
      <c r="Z710" s="366"/>
      <c r="AA710" s="368"/>
      <c r="AB710" s="373">
        <v>43992</v>
      </c>
      <c r="AC710" s="366" t="s">
        <v>3554</v>
      </c>
      <c r="AD710" s="367"/>
      <c r="AE710" s="455"/>
      <c r="AF710" s="34"/>
    </row>
    <row r="711" spans="1:32" s="1" customFormat="1" ht="28.8">
      <c r="A711" s="888"/>
      <c r="B711" s="420" t="s">
        <v>145</v>
      </c>
      <c r="C711" s="426"/>
      <c r="D711" s="729" t="s">
        <v>92</v>
      </c>
      <c r="E711" s="729"/>
      <c r="F711" s="729"/>
      <c r="G711" s="729"/>
      <c r="H711" s="382" t="s">
        <v>266</v>
      </c>
      <c r="I711" s="382" t="s">
        <v>64</v>
      </c>
      <c r="J711" s="366" t="s">
        <v>3555</v>
      </c>
      <c r="K711" s="366"/>
      <c r="L711" s="366"/>
      <c r="M711" s="383">
        <v>43725</v>
      </c>
      <c r="N711" s="366"/>
      <c r="O711" s="383">
        <v>43922</v>
      </c>
      <c r="P711" s="361">
        <v>24</v>
      </c>
      <c r="Q711" s="361" t="s">
        <v>366</v>
      </c>
      <c r="R711" s="384" t="s">
        <v>3556</v>
      </c>
      <c r="S711" s="361" t="s">
        <v>109</v>
      </c>
      <c r="T711" s="432" t="s">
        <v>54</v>
      </c>
      <c r="U711" s="363" t="s">
        <v>43</v>
      </c>
      <c r="V711" s="363"/>
      <c r="W711" s="366" t="s">
        <v>1302</v>
      </c>
      <c r="X711" s="366" t="s">
        <v>150</v>
      </c>
      <c r="Y711" s="366" t="s">
        <v>39</v>
      </c>
      <c r="Z711" s="366"/>
      <c r="AA711" s="368"/>
      <c r="AB711" s="373">
        <v>43992</v>
      </c>
      <c r="AC711" s="366" t="s">
        <v>3557</v>
      </c>
      <c r="AD711" s="367"/>
      <c r="AE711" s="455"/>
    </row>
    <row r="712" spans="1:32" s="1" customFormat="1" ht="28.8">
      <c r="A712" s="888"/>
      <c r="B712" s="420" t="s">
        <v>145</v>
      </c>
      <c r="C712" s="426"/>
      <c r="D712" s="360" t="s">
        <v>718</v>
      </c>
      <c r="E712" s="360"/>
      <c r="F712" s="360"/>
      <c r="G712" s="360"/>
      <c r="H712" s="360" t="s">
        <v>266</v>
      </c>
      <c r="I712" s="360" t="s">
        <v>64</v>
      </c>
      <c r="J712" s="1029" t="s">
        <v>757</v>
      </c>
      <c r="K712" s="360"/>
      <c r="L712" s="360"/>
      <c r="M712" s="335">
        <v>43739</v>
      </c>
      <c r="N712" s="360"/>
      <c r="O712" s="335">
        <v>43922</v>
      </c>
      <c r="P712" s="337">
        <v>6</v>
      </c>
      <c r="Q712" s="431">
        <v>6</v>
      </c>
      <c r="R712" s="338">
        <v>300000</v>
      </c>
      <c r="S712" s="362" t="s">
        <v>109</v>
      </c>
      <c r="T712" s="434" t="s">
        <v>41</v>
      </c>
      <c r="U712" s="370" t="s">
        <v>35</v>
      </c>
      <c r="V712" s="370"/>
      <c r="W712" s="360" t="s">
        <v>680</v>
      </c>
      <c r="X712" s="360" t="s">
        <v>184</v>
      </c>
      <c r="Y712" s="360" t="s">
        <v>39</v>
      </c>
      <c r="Z712" s="360"/>
      <c r="AA712" s="364"/>
      <c r="AB712" s="365">
        <v>43864</v>
      </c>
      <c r="AC712" s="366" t="s">
        <v>3558</v>
      </c>
      <c r="AD712" s="367"/>
      <c r="AE712" s="455"/>
    </row>
    <row r="713" spans="1:32" s="1" customFormat="1" ht="29.1" customHeight="1">
      <c r="A713" s="888"/>
      <c r="B713" s="141" t="s">
        <v>28</v>
      </c>
      <c r="C713" s="67" t="s">
        <v>3559</v>
      </c>
      <c r="D713" s="5" t="s">
        <v>29</v>
      </c>
      <c r="E713" s="5"/>
      <c r="F713" s="5"/>
      <c r="G713" s="5"/>
      <c r="H713" s="5" t="s">
        <v>70</v>
      </c>
      <c r="I713" s="5" t="s">
        <v>64</v>
      </c>
      <c r="J713" s="16" t="s">
        <v>3560</v>
      </c>
      <c r="K713" s="8"/>
      <c r="L713" s="8"/>
      <c r="M713" s="176">
        <v>43770</v>
      </c>
      <c r="N713" s="176"/>
      <c r="O713" s="176">
        <v>43922</v>
      </c>
      <c r="P713" s="12">
        <v>24</v>
      </c>
      <c r="Q713" s="25" t="s">
        <v>1243</v>
      </c>
      <c r="R713" s="39">
        <v>23137.5</v>
      </c>
      <c r="S713" s="39" t="s">
        <v>66</v>
      </c>
      <c r="T713" s="158" t="s">
        <v>54</v>
      </c>
      <c r="U713" s="4"/>
      <c r="V713" s="4"/>
      <c r="W713" s="5" t="s">
        <v>3170</v>
      </c>
      <c r="X713" s="5" t="s">
        <v>1088</v>
      </c>
      <c r="Y713" s="5" t="s">
        <v>457</v>
      </c>
      <c r="Z713" s="5"/>
      <c r="AA713" s="114"/>
      <c r="AB713" s="193"/>
      <c r="AC713" s="8" t="s">
        <v>3561</v>
      </c>
      <c r="AE713" s="158" t="s">
        <v>3172</v>
      </c>
      <c r="AF713" s="34"/>
    </row>
    <row r="714" spans="1:32" s="1" customFormat="1" ht="29.1" customHeight="1">
      <c r="A714" s="888"/>
      <c r="B714" s="141" t="s">
        <v>28</v>
      </c>
      <c r="C714" s="67" t="s">
        <v>3562</v>
      </c>
      <c r="D714" s="5" t="s">
        <v>29</v>
      </c>
      <c r="E714" s="5"/>
      <c r="F714" s="5"/>
      <c r="G714" s="5"/>
      <c r="H714" s="5" t="s">
        <v>70</v>
      </c>
      <c r="I714" s="12" t="s">
        <v>34</v>
      </c>
      <c r="J714" s="16" t="s">
        <v>1214</v>
      </c>
      <c r="K714" s="16"/>
      <c r="L714" s="16"/>
      <c r="M714" s="176">
        <v>43770</v>
      </c>
      <c r="N714" s="176"/>
      <c r="O714" s="176">
        <v>43922</v>
      </c>
      <c r="P714" s="12">
        <v>36</v>
      </c>
      <c r="Q714" s="28" t="s">
        <v>488</v>
      </c>
      <c r="R714" s="18">
        <v>10000</v>
      </c>
      <c r="S714" s="30" t="s">
        <v>909</v>
      </c>
      <c r="T714" s="26" t="s">
        <v>54</v>
      </c>
      <c r="U714" s="4"/>
      <c r="V714" s="4"/>
      <c r="W714" s="5" t="s">
        <v>3563</v>
      </c>
      <c r="X714" s="5" t="s">
        <v>2919</v>
      </c>
      <c r="Y714" s="5" t="s">
        <v>59</v>
      </c>
      <c r="Z714" s="5"/>
      <c r="AA714" s="26"/>
      <c r="AB714" s="1454">
        <v>43803</v>
      </c>
      <c r="AC714" s="8" t="s">
        <v>3564</v>
      </c>
      <c r="AD714"/>
      <c r="AE714" s="215"/>
    </row>
    <row r="715" spans="1:32" s="1" customFormat="1" ht="172.8">
      <c r="A715" s="888"/>
      <c r="B715" s="141" t="s">
        <v>28</v>
      </c>
      <c r="C715" s="726" t="s">
        <v>1254</v>
      </c>
      <c r="D715" s="9" t="s">
        <v>29</v>
      </c>
      <c r="E715" s="9"/>
      <c r="F715" s="9"/>
      <c r="G715" s="9"/>
      <c r="H715" s="5" t="s">
        <v>70</v>
      </c>
      <c r="I715" s="1330" t="s">
        <v>64</v>
      </c>
      <c r="J715" s="1339" t="s">
        <v>235</v>
      </c>
      <c r="K715" s="1327"/>
      <c r="L715" s="1327"/>
      <c r="M715" s="1329">
        <v>43770</v>
      </c>
      <c r="N715" s="1329"/>
      <c r="O715" s="1329">
        <v>43922</v>
      </c>
      <c r="P715" s="1330">
        <v>48</v>
      </c>
      <c r="Q715" s="1335" t="s">
        <v>3565</v>
      </c>
      <c r="R715" s="18">
        <v>200000</v>
      </c>
      <c r="S715" s="5" t="s">
        <v>66</v>
      </c>
      <c r="T715" s="165" t="s">
        <v>36</v>
      </c>
      <c r="U715" s="4"/>
      <c r="V715" s="4"/>
      <c r="W715" s="1330" t="s">
        <v>3136</v>
      </c>
      <c r="X715" s="5" t="s">
        <v>1088</v>
      </c>
      <c r="Y715" s="5" t="s">
        <v>457</v>
      </c>
      <c r="Z715" s="5"/>
      <c r="AA715" s="1330"/>
      <c r="AB715" s="1337">
        <v>43910</v>
      </c>
      <c r="AC715" s="32" t="s">
        <v>3566</v>
      </c>
      <c r="AD715" s="70" t="s">
        <v>3483</v>
      </c>
      <c r="AE715" s="1442">
        <v>50000</v>
      </c>
    </row>
    <row r="716" spans="1:32" s="1" customFormat="1" ht="86.4" customHeight="1">
      <c r="A716" s="888"/>
      <c r="B716" s="141" t="s">
        <v>28</v>
      </c>
      <c r="C716" s="67" t="s">
        <v>3567</v>
      </c>
      <c r="D716" s="5" t="s">
        <v>29</v>
      </c>
      <c r="E716" s="5"/>
      <c r="F716" s="5"/>
      <c r="G716" s="5"/>
      <c r="H716" s="5" t="s">
        <v>70</v>
      </c>
      <c r="I716" s="5" t="s">
        <v>34</v>
      </c>
      <c r="J716" s="16" t="s">
        <v>3159</v>
      </c>
      <c r="K716" s="16"/>
      <c r="L716" s="16"/>
      <c r="M716" s="176">
        <v>43800</v>
      </c>
      <c r="N716" s="176"/>
      <c r="O716" s="176">
        <v>43922</v>
      </c>
      <c r="P716" s="12">
        <v>12</v>
      </c>
      <c r="Q716" s="25" t="s">
        <v>108</v>
      </c>
      <c r="R716" s="18">
        <v>640</v>
      </c>
      <c r="S716" s="30" t="s">
        <v>909</v>
      </c>
      <c r="T716" s="26" t="s">
        <v>54</v>
      </c>
      <c r="U716" s="167"/>
      <c r="V716" s="167"/>
      <c r="W716" s="5" t="s">
        <v>3160</v>
      </c>
      <c r="X716" s="1335" t="s">
        <v>2919</v>
      </c>
      <c r="Y716" s="5" t="s">
        <v>457</v>
      </c>
      <c r="Z716" s="5"/>
      <c r="AA716" s="12"/>
      <c r="AB716" s="193">
        <v>43839</v>
      </c>
      <c r="AC716" s="78" t="s">
        <v>3568</v>
      </c>
      <c r="AD716"/>
      <c r="AE716" s="215"/>
    </row>
    <row r="717" spans="1:32" s="1" customFormat="1" ht="28.8">
      <c r="A717" s="888"/>
      <c r="B717" s="141" t="s">
        <v>28</v>
      </c>
      <c r="C717" s="1340"/>
      <c r="D717" s="1335" t="s">
        <v>29</v>
      </c>
      <c r="E717" s="1335"/>
      <c r="F717" s="1335"/>
      <c r="G717" s="1335"/>
      <c r="H717" s="5" t="s">
        <v>81</v>
      </c>
      <c r="I717" s="1335" t="s">
        <v>34</v>
      </c>
      <c r="J717" s="1339" t="s">
        <v>1251</v>
      </c>
      <c r="K717" s="1327"/>
      <c r="L717" s="1327"/>
      <c r="M717" s="1337">
        <v>43804</v>
      </c>
      <c r="N717" s="1337"/>
      <c r="O717" s="1337">
        <v>43922</v>
      </c>
      <c r="P717" s="12">
        <v>48</v>
      </c>
      <c r="Q717" s="1332" t="s">
        <v>191</v>
      </c>
      <c r="R717" s="18">
        <v>100000</v>
      </c>
      <c r="S717" s="193" t="s">
        <v>35</v>
      </c>
      <c r="T717" s="26" t="s">
        <v>54</v>
      </c>
      <c r="U717" s="14" t="s">
        <v>37</v>
      </c>
      <c r="V717" s="14"/>
      <c r="W717" s="5" t="s">
        <v>808</v>
      </c>
      <c r="X717" s="1335" t="s">
        <v>2919</v>
      </c>
      <c r="Y717" s="1335" t="s">
        <v>457</v>
      </c>
      <c r="Z717" s="1335"/>
      <c r="AA717" s="1327"/>
      <c r="AB717" s="193">
        <v>43983</v>
      </c>
      <c r="AC717" s="1327" t="s">
        <v>3569</v>
      </c>
      <c r="AD717" s="70" t="s">
        <v>615</v>
      </c>
      <c r="AE717" s="1340"/>
    </row>
    <row r="718" spans="1:32" s="3" customFormat="1" ht="86.4">
      <c r="A718" s="888"/>
      <c r="B718" s="141" t="s">
        <v>28</v>
      </c>
      <c r="C718" s="67"/>
      <c r="D718" s="9" t="s">
        <v>29</v>
      </c>
      <c r="E718" s="9"/>
      <c r="F718" s="9"/>
      <c r="G718" s="9"/>
      <c r="H718" s="5" t="s">
        <v>133</v>
      </c>
      <c r="I718" s="5" t="s">
        <v>64</v>
      </c>
      <c r="J718" s="16" t="s">
        <v>461</v>
      </c>
      <c r="K718" s="16"/>
      <c r="L718" s="16"/>
      <c r="M718" s="176">
        <v>43831</v>
      </c>
      <c r="N718" s="176"/>
      <c r="O718" s="176">
        <v>43922</v>
      </c>
      <c r="P718" s="12">
        <v>12</v>
      </c>
      <c r="Q718" s="27">
        <v>12</v>
      </c>
      <c r="R718" s="18">
        <v>33600</v>
      </c>
      <c r="S718" s="20" t="s">
        <v>66</v>
      </c>
      <c r="T718" s="164" t="s">
        <v>35</v>
      </c>
      <c r="U718" s="4"/>
      <c r="V718" s="4"/>
      <c r="W718" s="5" t="s">
        <v>462</v>
      </c>
      <c r="X718" s="5" t="s">
        <v>1088</v>
      </c>
      <c r="Y718" s="5" t="s">
        <v>457</v>
      </c>
      <c r="Z718" s="5"/>
      <c r="AA718" s="26"/>
      <c r="AB718" s="42"/>
      <c r="AC718" s="8" t="s">
        <v>3570</v>
      </c>
      <c r="AD718" s="1"/>
      <c r="AE718" s="215">
        <v>33600</v>
      </c>
      <c r="AF718" s="1"/>
    </row>
    <row r="719" spans="1:32" s="1" customFormat="1" ht="28.8">
      <c r="A719" s="888"/>
      <c r="B719" s="141" t="s">
        <v>28</v>
      </c>
      <c r="C719" s="67" t="s">
        <v>924</v>
      </c>
      <c r="D719" s="9" t="s">
        <v>29</v>
      </c>
      <c r="E719" s="9"/>
      <c r="F719" s="9"/>
      <c r="G719" s="9"/>
      <c r="H719" s="5" t="s">
        <v>76</v>
      </c>
      <c r="I719" s="12" t="s">
        <v>34</v>
      </c>
      <c r="J719" s="16" t="s">
        <v>925</v>
      </c>
      <c r="K719" s="8"/>
      <c r="L719" s="8"/>
      <c r="M719" s="176">
        <v>43836</v>
      </c>
      <c r="N719" s="176"/>
      <c r="O719" s="176">
        <v>43922</v>
      </c>
      <c r="P719" s="12">
        <v>36</v>
      </c>
      <c r="Q719" s="7" t="s">
        <v>488</v>
      </c>
      <c r="R719" s="18">
        <v>29215</v>
      </c>
      <c r="S719" s="5" t="s">
        <v>109</v>
      </c>
      <c r="T719" s="26" t="s">
        <v>54</v>
      </c>
      <c r="U719" s="4"/>
      <c r="V719" s="4"/>
      <c r="W719" s="5" t="s">
        <v>926</v>
      </c>
      <c r="X719" s="5" t="s">
        <v>219</v>
      </c>
      <c r="Y719" s="5" t="s">
        <v>39</v>
      </c>
      <c r="Z719" s="5"/>
      <c r="AA719" s="5"/>
      <c r="AB719" s="193">
        <v>43900</v>
      </c>
      <c r="AC719" s="8" t="s">
        <v>3571</v>
      </c>
      <c r="AE719" s="222"/>
    </row>
    <row r="720" spans="1:32" s="1" customFormat="1" ht="43.35" customHeight="1">
      <c r="A720" s="888"/>
      <c r="B720" s="141" t="s">
        <v>28</v>
      </c>
      <c r="C720" s="67" t="s">
        <v>924</v>
      </c>
      <c r="D720" s="9" t="s">
        <v>29</v>
      </c>
      <c r="E720" s="9"/>
      <c r="F720" s="9"/>
      <c r="G720" s="9"/>
      <c r="H720" s="5" t="s">
        <v>76</v>
      </c>
      <c r="I720" s="12" t="s">
        <v>34</v>
      </c>
      <c r="J720" s="16" t="s">
        <v>927</v>
      </c>
      <c r="K720" s="8"/>
      <c r="L720" s="8"/>
      <c r="M720" s="176">
        <v>43836</v>
      </c>
      <c r="N720" s="176"/>
      <c r="O720" s="176">
        <v>43922</v>
      </c>
      <c r="P720" s="12">
        <v>36</v>
      </c>
      <c r="Q720" s="7" t="s">
        <v>488</v>
      </c>
      <c r="R720" s="18">
        <v>17000</v>
      </c>
      <c r="S720" s="5" t="s">
        <v>109</v>
      </c>
      <c r="T720" s="26" t="s">
        <v>54</v>
      </c>
      <c r="U720" s="4"/>
      <c r="V720" s="4"/>
      <c r="W720" s="5" t="s">
        <v>926</v>
      </c>
      <c r="X720" s="5" t="s">
        <v>219</v>
      </c>
      <c r="Y720" s="5" t="s">
        <v>39</v>
      </c>
      <c r="Z720" s="5"/>
      <c r="AA720" s="5"/>
      <c r="AB720" s="193">
        <v>43900</v>
      </c>
      <c r="AC720" s="8" t="s">
        <v>3571</v>
      </c>
      <c r="AE720" s="222"/>
    </row>
    <row r="721" spans="1:32" s="1" customFormat="1" ht="28.8">
      <c r="A721" s="888"/>
      <c r="B721" s="141" t="s">
        <v>28</v>
      </c>
      <c r="C721" s="67" t="s">
        <v>924</v>
      </c>
      <c r="D721" s="9" t="s">
        <v>29</v>
      </c>
      <c r="E721" s="9"/>
      <c r="F721" s="9"/>
      <c r="G721" s="9"/>
      <c r="H721" s="5" t="s">
        <v>76</v>
      </c>
      <c r="I721" s="12" t="s">
        <v>34</v>
      </c>
      <c r="J721" s="16" t="s">
        <v>928</v>
      </c>
      <c r="K721" s="8"/>
      <c r="L721" s="8"/>
      <c r="M721" s="176">
        <v>43836</v>
      </c>
      <c r="N721" s="176"/>
      <c r="O721" s="176">
        <v>43922</v>
      </c>
      <c r="P721" s="12">
        <v>36</v>
      </c>
      <c r="Q721" s="25" t="s">
        <v>488</v>
      </c>
      <c r="R721" s="18">
        <v>25580</v>
      </c>
      <c r="S721" s="30" t="s">
        <v>109</v>
      </c>
      <c r="T721" s="26" t="s">
        <v>54</v>
      </c>
      <c r="U721" s="4"/>
      <c r="V721" s="4"/>
      <c r="W721" s="5" t="s">
        <v>926</v>
      </c>
      <c r="X721" s="5" t="s">
        <v>219</v>
      </c>
      <c r="Y721" s="5" t="s">
        <v>39</v>
      </c>
      <c r="Z721" s="5"/>
      <c r="AA721" s="26"/>
      <c r="AB721" s="42">
        <v>43900</v>
      </c>
      <c r="AC721" s="8" t="s">
        <v>3571</v>
      </c>
      <c r="AE721" s="222"/>
    </row>
    <row r="722" spans="1:32" s="1" customFormat="1" ht="115.2">
      <c r="A722" s="852"/>
      <c r="B722" s="303"/>
      <c r="C722" s="67"/>
      <c r="D722" s="9" t="s">
        <v>60</v>
      </c>
      <c r="E722" s="9"/>
      <c r="F722" s="9"/>
      <c r="G722" s="9"/>
      <c r="H722" s="5" t="s">
        <v>260</v>
      </c>
      <c r="I722" s="5" t="s">
        <v>34</v>
      </c>
      <c r="J722" s="16" t="s">
        <v>1129</v>
      </c>
      <c r="K722" s="16"/>
      <c r="L722" s="16"/>
      <c r="M722" s="14">
        <v>43922</v>
      </c>
      <c r="N722" s="14"/>
      <c r="O722" s="14">
        <v>43922</v>
      </c>
      <c r="P722" s="72">
        <v>36</v>
      </c>
      <c r="Q722" s="72">
        <v>36</v>
      </c>
      <c r="R722" s="39">
        <v>10000</v>
      </c>
      <c r="S722" s="5" t="s">
        <v>909</v>
      </c>
      <c r="T722" s="179" t="s">
        <v>54</v>
      </c>
      <c r="U722" s="15" t="s">
        <v>37</v>
      </c>
      <c r="V722" s="15"/>
      <c r="W722" s="5" t="s">
        <v>233</v>
      </c>
      <c r="X722" s="5" t="s">
        <v>90</v>
      </c>
      <c r="Y722" s="5" t="s">
        <v>457</v>
      </c>
      <c r="Z722" s="5"/>
      <c r="AA722" s="5"/>
      <c r="AB722" s="193" t="s">
        <v>3429</v>
      </c>
      <c r="AC722" s="6" t="s">
        <v>3572</v>
      </c>
      <c r="AD722" s="70" t="s">
        <v>260</v>
      </c>
      <c r="AE722" s="158" t="s">
        <v>3573</v>
      </c>
    </row>
    <row r="723" spans="1:32" s="1" customFormat="1" ht="52.8">
      <c r="A723" s="852"/>
      <c r="B723" s="713" t="s">
        <v>48</v>
      </c>
      <c r="C723" s="520" t="s">
        <v>43</v>
      </c>
      <c r="D723" s="554" t="s">
        <v>60</v>
      </c>
      <c r="E723" s="554"/>
      <c r="F723" s="554"/>
      <c r="G723" s="554"/>
      <c r="H723" s="466" t="s">
        <v>127</v>
      </c>
      <c r="I723" s="467" t="s">
        <v>34</v>
      </c>
      <c r="J723" s="1023" t="s">
        <v>510</v>
      </c>
      <c r="K723" s="522"/>
      <c r="L723" s="540">
        <v>43556</v>
      </c>
      <c r="M723" s="540"/>
      <c r="N723" s="540"/>
      <c r="O723" s="540">
        <v>43922</v>
      </c>
      <c r="P723" s="471">
        <v>48</v>
      </c>
      <c r="Q723" s="471">
        <v>48</v>
      </c>
      <c r="R723" s="541">
        <v>320000</v>
      </c>
      <c r="S723" s="478" t="s">
        <v>35</v>
      </c>
      <c r="T723" s="803"/>
      <c r="U723" s="470"/>
      <c r="V723" s="470"/>
      <c r="W723" s="474" t="s">
        <v>511</v>
      </c>
      <c r="X723" s="114"/>
      <c r="Y723" s="114"/>
      <c r="Z723" s="114"/>
      <c r="AA723" s="114"/>
      <c r="AB723" s="114"/>
      <c r="AC723" s="114"/>
      <c r="AD723"/>
      <c r="AE723" s="180"/>
    </row>
    <row r="724" spans="1:32" s="1" customFormat="1" ht="43.35" customHeight="1">
      <c r="A724" s="852"/>
      <c r="B724" s="713" t="s">
        <v>48</v>
      </c>
      <c r="C724" s="465" t="s">
        <v>1630</v>
      </c>
      <c r="D724" s="554" t="s">
        <v>60</v>
      </c>
      <c r="E724" s="554"/>
      <c r="F724" s="554"/>
      <c r="G724" s="554"/>
      <c r="H724" s="466" t="s">
        <v>127</v>
      </c>
      <c r="I724" s="474" t="s">
        <v>34</v>
      </c>
      <c r="J724" s="1024" t="s">
        <v>1759</v>
      </c>
      <c r="K724" s="467"/>
      <c r="L724" s="540">
        <v>43467</v>
      </c>
      <c r="M724" s="540"/>
      <c r="N724" s="540"/>
      <c r="O724" s="540">
        <v>43922</v>
      </c>
      <c r="P724" s="491" t="s">
        <v>1760</v>
      </c>
      <c r="Q724" s="765" t="s">
        <v>858</v>
      </c>
      <c r="R724" s="550" t="s">
        <v>125</v>
      </c>
      <c r="S724" s="791" t="s">
        <v>125</v>
      </c>
      <c r="T724" s="803" t="s">
        <v>54</v>
      </c>
      <c r="U724" s="470"/>
      <c r="V724" s="470"/>
      <c r="W724" s="466" t="s">
        <v>1761</v>
      </c>
      <c r="X724" s="114"/>
      <c r="Y724" s="114"/>
      <c r="Z724" s="114"/>
      <c r="AA724" s="114"/>
      <c r="AB724" s="114"/>
      <c r="AC724" s="114"/>
      <c r="AD724"/>
      <c r="AE724" s="180"/>
    </row>
    <row r="725" spans="1:32" s="1" customFormat="1" ht="43.35" customHeight="1">
      <c r="A725" s="852"/>
      <c r="B725" s="713" t="s">
        <v>48</v>
      </c>
      <c r="C725" s="465" t="s">
        <v>1995</v>
      </c>
      <c r="D725" s="554" t="s">
        <v>92</v>
      </c>
      <c r="E725" s="554"/>
      <c r="F725" s="554"/>
      <c r="G725" s="554"/>
      <c r="H725" s="466" t="s">
        <v>148</v>
      </c>
      <c r="I725" s="474" t="s">
        <v>64</v>
      </c>
      <c r="J725" s="1024" t="s">
        <v>1996</v>
      </c>
      <c r="K725" s="467"/>
      <c r="L725" s="485">
        <v>43405</v>
      </c>
      <c r="M725" s="485"/>
      <c r="N725" s="485"/>
      <c r="O725" s="485">
        <v>43922</v>
      </c>
      <c r="P725" s="471">
        <v>48</v>
      </c>
      <c r="Q725" s="761" t="s">
        <v>167</v>
      </c>
      <c r="R725" s="542">
        <v>1342270</v>
      </c>
      <c r="S725" s="791" t="s">
        <v>66</v>
      </c>
      <c r="T725" s="803" t="s">
        <v>144</v>
      </c>
      <c r="U725" s="470"/>
      <c r="V725" s="470"/>
      <c r="W725" s="488" t="s">
        <v>1997</v>
      </c>
      <c r="X725" s="114"/>
      <c r="Y725" s="114"/>
      <c r="Z725" s="114"/>
      <c r="AA725" s="114"/>
      <c r="AB725" s="114"/>
      <c r="AC725" s="114"/>
      <c r="AD725"/>
      <c r="AE725" s="180"/>
    </row>
    <row r="726" spans="1:32" s="1" customFormat="1" ht="29.1" customHeight="1">
      <c r="A726" s="852"/>
      <c r="B726" s="713" t="s">
        <v>48</v>
      </c>
      <c r="C726" s="465" t="s">
        <v>2034</v>
      </c>
      <c r="D726" s="554" t="s">
        <v>60</v>
      </c>
      <c r="E726" s="554"/>
      <c r="F726" s="554"/>
      <c r="G726" s="554"/>
      <c r="H726" s="466" t="s">
        <v>127</v>
      </c>
      <c r="I726" s="474" t="s">
        <v>34</v>
      </c>
      <c r="J726" s="1024" t="s">
        <v>2035</v>
      </c>
      <c r="K726" s="467"/>
      <c r="L726" s="485">
        <v>43435</v>
      </c>
      <c r="M726" s="485"/>
      <c r="N726" s="485"/>
      <c r="O726" s="485">
        <v>43922</v>
      </c>
      <c r="P726" s="471" t="s">
        <v>858</v>
      </c>
      <c r="Q726" s="471" t="s">
        <v>858</v>
      </c>
      <c r="R726" s="542">
        <v>7500000</v>
      </c>
      <c r="S726" s="791" t="s">
        <v>98</v>
      </c>
      <c r="T726" s="803" t="s">
        <v>144</v>
      </c>
      <c r="U726" s="470" t="s">
        <v>2036</v>
      </c>
      <c r="V726" s="470"/>
      <c r="W726" s="474" t="s">
        <v>432</v>
      </c>
      <c r="X726" s="114"/>
      <c r="Y726" s="114"/>
      <c r="Z726" s="114"/>
      <c r="AA726" s="180"/>
      <c r="AB726" s="180"/>
      <c r="AC726" s="114"/>
      <c r="AD726"/>
      <c r="AE726" s="180"/>
      <c r="AF726" s="1360"/>
    </row>
    <row r="727" spans="1:32" s="1" customFormat="1" ht="43.35" customHeight="1">
      <c r="A727" s="852"/>
      <c r="B727" s="713" t="s">
        <v>48</v>
      </c>
      <c r="C727" s="465" t="s">
        <v>2037</v>
      </c>
      <c r="D727" s="554" t="s">
        <v>60</v>
      </c>
      <c r="E727" s="554"/>
      <c r="F727" s="554"/>
      <c r="G727" s="554"/>
      <c r="H727" s="466" t="s">
        <v>127</v>
      </c>
      <c r="I727" s="474" t="s">
        <v>34</v>
      </c>
      <c r="J727" s="1024" t="s">
        <v>2038</v>
      </c>
      <c r="K727" s="467"/>
      <c r="L727" s="485">
        <v>43435</v>
      </c>
      <c r="M727" s="485"/>
      <c r="N727" s="485"/>
      <c r="O727" s="485">
        <v>43922</v>
      </c>
      <c r="P727" s="471">
        <v>48</v>
      </c>
      <c r="Q727" s="471">
        <v>48</v>
      </c>
      <c r="R727" s="542">
        <v>300000000</v>
      </c>
      <c r="S727" s="478" t="s">
        <v>98</v>
      </c>
      <c r="T727" s="803" t="s">
        <v>144</v>
      </c>
      <c r="U727" s="470" t="s">
        <v>2036</v>
      </c>
      <c r="V727" s="470"/>
      <c r="W727" s="474" t="s">
        <v>2039</v>
      </c>
      <c r="X727" s="114"/>
      <c r="Y727" s="114"/>
      <c r="Z727" s="114"/>
      <c r="AA727" s="114"/>
      <c r="AB727" s="114"/>
      <c r="AC727" s="114"/>
      <c r="AD727"/>
      <c r="AE727" s="180"/>
      <c r="AF727" s="1360"/>
    </row>
    <row r="728" spans="1:32" s="1" customFormat="1" ht="43.35" customHeight="1">
      <c r="A728" s="852"/>
      <c r="B728" s="713" t="s">
        <v>48</v>
      </c>
      <c r="C728" s="465" t="s">
        <v>2065</v>
      </c>
      <c r="D728" s="554" t="s">
        <v>60</v>
      </c>
      <c r="E728" s="554"/>
      <c r="F728" s="554"/>
      <c r="G728" s="554"/>
      <c r="H728" s="466" t="s">
        <v>127</v>
      </c>
      <c r="I728" s="474" t="s">
        <v>34</v>
      </c>
      <c r="J728" s="1024" t="s">
        <v>2066</v>
      </c>
      <c r="K728" s="467"/>
      <c r="L728" s="470">
        <v>43739</v>
      </c>
      <c r="M728" s="470"/>
      <c r="N728" s="470"/>
      <c r="O728" s="470">
        <v>43922</v>
      </c>
      <c r="P728" s="471" t="s">
        <v>858</v>
      </c>
      <c r="Q728" s="471" t="s">
        <v>858</v>
      </c>
      <c r="R728" s="542">
        <v>9000000</v>
      </c>
      <c r="S728" s="470" t="s">
        <v>98</v>
      </c>
      <c r="T728" s="803" t="s">
        <v>144</v>
      </c>
      <c r="U728" s="470" t="s">
        <v>2036</v>
      </c>
      <c r="V728" s="470"/>
      <c r="W728" s="474" t="s">
        <v>432</v>
      </c>
      <c r="X728" s="114"/>
      <c r="Y728" s="114"/>
      <c r="Z728" s="114"/>
      <c r="AA728" s="114"/>
      <c r="AB728" s="114"/>
      <c r="AC728" s="114"/>
      <c r="AD728"/>
      <c r="AE728" s="180"/>
    </row>
    <row r="729" spans="1:32" s="1" customFormat="1" ht="52.8">
      <c r="A729" s="852"/>
      <c r="B729" s="713" t="s">
        <v>48</v>
      </c>
      <c r="C729" s="465" t="s">
        <v>125</v>
      </c>
      <c r="D729" s="554" t="s">
        <v>60</v>
      </c>
      <c r="E729" s="554"/>
      <c r="F729" s="554"/>
      <c r="G729" s="554"/>
      <c r="H729" s="466" t="s">
        <v>127</v>
      </c>
      <c r="I729" s="465" t="s">
        <v>34</v>
      </c>
      <c r="J729" s="1025" t="s">
        <v>2407</v>
      </c>
      <c r="K729" s="488"/>
      <c r="L729" s="466">
        <v>1</v>
      </c>
      <c r="M729" s="469">
        <f>IF(O729="tbc","",(IFERROR(EDATE($N729,-3),"Invalid procurement method or date entered")))</f>
        <v>43800</v>
      </c>
      <c r="N729" s="469">
        <f>IF(O729="tbc","",(IFERROR(EDATE(O729,-L729),"Invalid procurement method or date entered")))</f>
        <v>43891</v>
      </c>
      <c r="O729" s="489">
        <v>43922</v>
      </c>
      <c r="P729" s="490">
        <v>48</v>
      </c>
      <c r="Q729" s="490" t="s">
        <v>125</v>
      </c>
      <c r="R729" s="483">
        <v>20000</v>
      </c>
      <c r="S729" s="465" t="s">
        <v>163</v>
      </c>
      <c r="T729" s="806" t="s">
        <v>465</v>
      </c>
      <c r="U729" s="470" t="s">
        <v>125</v>
      </c>
      <c r="V729" s="470"/>
      <c r="W729" s="513" t="s">
        <v>2370</v>
      </c>
      <c r="X729" s="114"/>
      <c r="Y729" s="114"/>
      <c r="Z729" s="114"/>
      <c r="AA729" s="114"/>
      <c r="AB729" s="114"/>
      <c r="AC729" s="114"/>
      <c r="AD729"/>
      <c r="AE729" s="180"/>
    </row>
    <row r="730" spans="1:32" s="1" customFormat="1" ht="43.35" customHeight="1">
      <c r="A730" s="888"/>
      <c r="B730" s="141" t="s">
        <v>28</v>
      </c>
      <c r="C730" s="4" t="s">
        <v>3574</v>
      </c>
      <c r="D730" s="30" t="s">
        <v>29</v>
      </c>
      <c r="E730" s="30"/>
      <c r="F730" s="30"/>
      <c r="G730" s="30"/>
      <c r="H730" s="1335" t="s">
        <v>70</v>
      </c>
      <c r="I730" s="1335" t="s">
        <v>34</v>
      </c>
      <c r="J730" s="1339" t="s">
        <v>3575</v>
      </c>
      <c r="K730" s="1339"/>
      <c r="L730" s="1339"/>
      <c r="M730" s="193">
        <v>43662</v>
      </c>
      <c r="N730" s="193"/>
      <c r="O730" s="176">
        <v>43924</v>
      </c>
      <c r="P730" s="1335">
        <v>36</v>
      </c>
      <c r="Q730" s="1332">
        <v>36</v>
      </c>
      <c r="R730" s="18">
        <v>26747.25</v>
      </c>
      <c r="S730" s="1338" t="s">
        <v>109</v>
      </c>
      <c r="T730" s="1332" t="s">
        <v>54</v>
      </c>
      <c r="U730" s="1330" t="s">
        <v>37</v>
      </c>
      <c r="V730" s="1330"/>
      <c r="W730" s="1335" t="s">
        <v>1140</v>
      </c>
      <c r="X730" s="5" t="s">
        <v>1091</v>
      </c>
      <c r="Y730" s="5" t="s">
        <v>457</v>
      </c>
      <c r="Z730" s="5"/>
      <c r="AA730" s="1335"/>
      <c r="AB730" s="193">
        <v>43951</v>
      </c>
      <c r="AC730" s="1327" t="s">
        <v>3576</v>
      </c>
      <c r="AD730" s="70" t="s">
        <v>3577</v>
      </c>
      <c r="AE730" s="1456">
        <v>8915.75</v>
      </c>
    </row>
    <row r="731" spans="1:32" s="1" customFormat="1" ht="39.6">
      <c r="A731" s="852"/>
      <c r="B731" s="713" t="s">
        <v>48</v>
      </c>
      <c r="C731" s="465" t="s">
        <v>2027</v>
      </c>
      <c r="D731" s="554" t="s">
        <v>82</v>
      </c>
      <c r="E731" s="554"/>
      <c r="F731" s="554"/>
      <c r="G731" s="554"/>
      <c r="H731" s="466" t="s">
        <v>49</v>
      </c>
      <c r="I731" s="474" t="s">
        <v>34</v>
      </c>
      <c r="J731" s="1024" t="s">
        <v>2028</v>
      </c>
      <c r="K731" s="467"/>
      <c r="L731" s="485">
        <v>43832</v>
      </c>
      <c r="M731" s="485"/>
      <c r="N731" s="485"/>
      <c r="O731" s="485">
        <v>43927</v>
      </c>
      <c r="P731" s="471">
        <v>4</v>
      </c>
      <c r="Q731" s="761">
        <v>4</v>
      </c>
      <c r="R731" s="542">
        <v>366000</v>
      </c>
      <c r="S731" s="791" t="s">
        <v>1163</v>
      </c>
      <c r="T731" s="803" t="s">
        <v>36</v>
      </c>
      <c r="U731" s="470">
        <v>43896</v>
      </c>
      <c r="V731" s="470"/>
      <c r="W731" s="474" t="s">
        <v>1734</v>
      </c>
      <c r="X731" s="114"/>
      <c r="Y731" s="114"/>
      <c r="Z731" s="114"/>
      <c r="AA731" s="114"/>
      <c r="AB731" s="114"/>
      <c r="AC731" s="114"/>
      <c r="AD731"/>
      <c r="AE731" s="180"/>
    </row>
    <row r="732" spans="1:32" s="1" customFormat="1" ht="129.6">
      <c r="A732" s="852"/>
      <c r="B732" s="303"/>
      <c r="C732" s="4" t="s">
        <v>37</v>
      </c>
      <c r="D732" s="31" t="s">
        <v>29</v>
      </c>
      <c r="E732" s="31"/>
      <c r="F732" s="31"/>
      <c r="G732" s="31"/>
      <c r="H732" s="5" t="s">
        <v>70</v>
      </c>
      <c r="I732" s="5" t="s">
        <v>64</v>
      </c>
      <c r="J732" s="16" t="s">
        <v>2831</v>
      </c>
      <c r="K732" s="16"/>
      <c r="L732" s="16"/>
      <c r="M732" s="176">
        <v>43800</v>
      </c>
      <c r="N732" s="176"/>
      <c r="O732" s="176">
        <v>43931</v>
      </c>
      <c r="P732" s="12">
        <v>12</v>
      </c>
      <c r="Q732" s="25" t="s">
        <v>108</v>
      </c>
      <c r="R732" s="18">
        <v>2512</v>
      </c>
      <c r="S732" s="5" t="s">
        <v>66</v>
      </c>
      <c r="T732" s="26" t="s">
        <v>54</v>
      </c>
      <c r="U732" s="46" t="s">
        <v>37</v>
      </c>
      <c r="V732" s="46"/>
      <c r="W732" s="12" t="s">
        <v>301</v>
      </c>
      <c r="X732" s="1335" t="s">
        <v>1088</v>
      </c>
      <c r="Y732" s="5" t="s">
        <v>179</v>
      </c>
      <c r="Z732" s="5"/>
      <c r="AA732" s="26"/>
      <c r="AB732" s="42" t="s">
        <v>3429</v>
      </c>
      <c r="AC732" s="8" t="s">
        <v>3578</v>
      </c>
      <c r="AD732" s="53"/>
      <c r="AE732" s="215">
        <v>2512.09</v>
      </c>
    </row>
    <row r="733" spans="1:32" s="1" customFormat="1" ht="43.35" customHeight="1">
      <c r="A733" s="888"/>
      <c r="B733" s="57"/>
      <c r="C733" s="4"/>
      <c r="D733" s="31" t="s">
        <v>29</v>
      </c>
      <c r="E733" s="31"/>
      <c r="F733" s="31"/>
      <c r="G733" s="31"/>
      <c r="H733" s="5" t="s">
        <v>70</v>
      </c>
      <c r="I733" s="12" t="s">
        <v>34</v>
      </c>
      <c r="J733" s="16" t="s">
        <v>2614</v>
      </c>
      <c r="K733" s="16"/>
      <c r="L733" s="16"/>
      <c r="M733" s="176">
        <v>43709</v>
      </c>
      <c r="N733" s="176"/>
      <c r="O733" s="176">
        <v>43936</v>
      </c>
      <c r="P733" s="12">
        <v>12</v>
      </c>
      <c r="Q733" s="7" t="s">
        <v>108</v>
      </c>
      <c r="R733" s="18">
        <v>3819.9</v>
      </c>
      <c r="S733" s="5" t="s">
        <v>35</v>
      </c>
      <c r="T733" s="26" t="s">
        <v>54</v>
      </c>
      <c r="U733" s="14" t="s">
        <v>37</v>
      </c>
      <c r="V733" s="14"/>
      <c r="W733" s="12" t="s">
        <v>301</v>
      </c>
      <c r="X733" s="5" t="s">
        <v>219</v>
      </c>
      <c r="Y733" s="5" t="s">
        <v>39</v>
      </c>
      <c r="Z733" s="5"/>
      <c r="AA733" s="5"/>
      <c r="AB733" s="193" t="s">
        <v>1082</v>
      </c>
      <c r="AC733" s="8" t="s">
        <v>3579</v>
      </c>
      <c r="AD733" s="70" t="s">
        <v>3464</v>
      </c>
      <c r="AE733" s="215">
        <v>3819.9</v>
      </c>
    </row>
    <row r="734" spans="1:32" s="1" customFormat="1" ht="43.35" customHeight="1">
      <c r="A734" s="888"/>
      <c r="B734" s="141" t="s">
        <v>28</v>
      </c>
      <c r="C734" s="4" t="s">
        <v>3580</v>
      </c>
      <c r="D734" s="170" t="s">
        <v>29</v>
      </c>
      <c r="E734" s="170"/>
      <c r="F734" s="170"/>
      <c r="G734" s="170"/>
      <c r="H734" s="16" t="s">
        <v>70</v>
      </c>
      <c r="I734" s="16" t="s">
        <v>64</v>
      </c>
      <c r="J734" s="16" t="s">
        <v>2836</v>
      </c>
      <c r="K734" s="16"/>
      <c r="L734" s="16"/>
      <c r="M734" s="238">
        <v>43709</v>
      </c>
      <c r="N734" s="238"/>
      <c r="O734" s="238">
        <v>43941</v>
      </c>
      <c r="P734" s="4">
        <v>48</v>
      </c>
      <c r="Q734" s="1169" t="s">
        <v>1316</v>
      </c>
      <c r="R734" s="239">
        <v>18000</v>
      </c>
      <c r="S734" s="16" t="s">
        <v>66</v>
      </c>
      <c r="T734" s="240" t="s">
        <v>54</v>
      </c>
      <c r="U734" s="241" t="s">
        <v>37</v>
      </c>
      <c r="V734" s="241"/>
      <c r="W734" s="4" t="s">
        <v>2838</v>
      </c>
      <c r="X734" s="16" t="s">
        <v>1088</v>
      </c>
      <c r="Y734" s="16" t="s">
        <v>1264</v>
      </c>
      <c r="Z734" s="16"/>
      <c r="AA734" s="240"/>
      <c r="AB734" s="1239">
        <v>43920</v>
      </c>
      <c r="AC734" s="16" t="s">
        <v>3581</v>
      </c>
      <c r="AD734" s="1" t="s">
        <v>42</v>
      </c>
      <c r="AE734" s="242">
        <v>9500</v>
      </c>
      <c r="AF734" s="34"/>
    </row>
    <row r="735" spans="1:32" s="1" customFormat="1" ht="28.8">
      <c r="A735" s="900"/>
      <c r="B735" s="57"/>
      <c r="C735" s="4"/>
      <c r="D735" s="30" t="s">
        <v>29</v>
      </c>
      <c r="E735" s="30"/>
      <c r="F735" s="30"/>
      <c r="G735" s="30"/>
      <c r="H735" s="5" t="s">
        <v>70</v>
      </c>
      <c r="I735" s="12" t="s">
        <v>34</v>
      </c>
      <c r="J735" s="16" t="s">
        <v>1222</v>
      </c>
      <c r="K735" s="16"/>
      <c r="L735" s="16"/>
      <c r="M735" s="176">
        <v>43739</v>
      </c>
      <c r="N735" s="176"/>
      <c r="O735" s="176">
        <v>43945</v>
      </c>
      <c r="P735" s="12" t="s">
        <v>35</v>
      </c>
      <c r="Q735" s="27" t="s">
        <v>35</v>
      </c>
      <c r="R735" s="18" t="s">
        <v>3582</v>
      </c>
      <c r="S735" s="30" t="s">
        <v>35</v>
      </c>
      <c r="T735" s="26" t="s">
        <v>54</v>
      </c>
      <c r="U735" s="12" t="s">
        <v>37</v>
      </c>
      <c r="V735" s="12"/>
      <c r="W735" s="12" t="s">
        <v>113</v>
      </c>
      <c r="X735" s="5" t="s">
        <v>2919</v>
      </c>
      <c r="Y735" s="5" t="s">
        <v>39</v>
      </c>
      <c r="Z735" s="5"/>
      <c r="AA735" s="12"/>
      <c r="AB735" s="193" t="s">
        <v>3429</v>
      </c>
      <c r="AC735" s="8" t="s">
        <v>3583</v>
      </c>
      <c r="AD735" s="70" t="s">
        <v>3026</v>
      </c>
      <c r="AE735" s="215">
        <v>778</v>
      </c>
    </row>
    <row r="736" spans="1:32" s="1" customFormat="1" ht="66">
      <c r="A736" s="852"/>
      <c r="B736" s="713" t="s">
        <v>48</v>
      </c>
      <c r="C736" s="465" t="s">
        <v>2253</v>
      </c>
      <c r="D736" s="554" t="s">
        <v>60</v>
      </c>
      <c r="E736" s="554"/>
      <c r="F736" s="554"/>
      <c r="G736" s="554"/>
      <c r="H736" s="466" t="s">
        <v>127</v>
      </c>
      <c r="I736" s="474" t="s">
        <v>34</v>
      </c>
      <c r="J736" s="1024" t="s">
        <v>2254</v>
      </c>
      <c r="K736" s="467"/>
      <c r="L736" s="467"/>
      <c r="M736" s="466">
        <v>12</v>
      </c>
      <c r="N736" s="469" t="str">
        <f>IF(O736="tbc","",(IFERROR(EDATE(#REF!,-3),"Invalid procurement method or date entered")))</f>
        <v>Invalid procurement method or date entered</v>
      </c>
      <c r="O736" s="470">
        <v>43951</v>
      </c>
      <c r="P736" s="471">
        <v>1</v>
      </c>
      <c r="Q736" s="761">
        <v>1</v>
      </c>
      <c r="R736" s="483">
        <v>170000</v>
      </c>
      <c r="S736" s="470" t="s">
        <v>173</v>
      </c>
      <c r="T736" s="803" t="s">
        <v>36</v>
      </c>
      <c r="U736" s="470" t="s">
        <v>125</v>
      </c>
      <c r="V736" s="470"/>
      <c r="W736" s="474" t="s">
        <v>2255</v>
      </c>
      <c r="X736" s="114"/>
      <c r="Y736" s="114"/>
      <c r="Z736" s="114"/>
      <c r="AA736" s="114"/>
      <c r="AB736" s="114"/>
      <c r="AC736" s="114"/>
      <c r="AD736"/>
      <c r="AE736" s="180"/>
    </row>
    <row r="737" spans="1:32" s="1" customFormat="1" ht="43.2">
      <c r="A737" s="888"/>
      <c r="B737" s="57"/>
      <c r="C737" s="8" t="s">
        <v>3584</v>
      </c>
      <c r="D737" s="30" t="s">
        <v>29</v>
      </c>
      <c r="E737" s="30"/>
      <c r="F737" s="30"/>
      <c r="G737" s="30"/>
      <c r="H737" s="5" t="s">
        <v>81</v>
      </c>
      <c r="I737" s="5" t="s">
        <v>34</v>
      </c>
      <c r="J737" s="16" t="s">
        <v>3585</v>
      </c>
      <c r="K737" s="8"/>
      <c r="L737" s="8"/>
      <c r="M737" s="193">
        <v>43943</v>
      </c>
      <c r="N737" s="193"/>
      <c r="O737" s="193">
        <v>43952</v>
      </c>
      <c r="P737" s="5">
        <v>3</v>
      </c>
      <c r="Q737" s="26" t="s">
        <v>3586</v>
      </c>
      <c r="R737" s="18">
        <v>60000</v>
      </c>
      <c r="S737" s="30" t="s">
        <v>109</v>
      </c>
      <c r="T737" s="26" t="s">
        <v>54</v>
      </c>
      <c r="U737" s="176" t="s">
        <v>37</v>
      </c>
      <c r="V737" s="176"/>
      <c r="W737" s="1375" t="s">
        <v>1288</v>
      </c>
      <c r="X737" s="5" t="s">
        <v>2919</v>
      </c>
      <c r="Y737" s="5" t="s">
        <v>39</v>
      </c>
      <c r="Z737" s="5"/>
      <c r="AA737" s="26"/>
      <c r="AB737" s="42" t="s">
        <v>3429</v>
      </c>
      <c r="AC737" s="8" t="s">
        <v>3587</v>
      </c>
      <c r="AD737" s="70" t="s">
        <v>615</v>
      </c>
      <c r="AE737" s="26"/>
      <c r="AF737" s="34"/>
    </row>
    <row r="738" spans="1:32" s="1" customFormat="1" ht="39.6">
      <c r="A738" s="852"/>
      <c r="B738" s="713" t="s">
        <v>48</v>
      </c>
      <c r="C738" s="465" t="s">
        <v>2040</v>
      </c>
      <c r="D738" s="554" t="s">
        <v>82</v>
      </c>
      <c r="E738" s="554"/>
      <c r="F738" s="554"/>
      <c r="G738" s="554"/>
      <c r="H738" s="466" t="s">
        <v>49</v>
      </c>
      <c r="I738" s="474" t="s">
        <v>34</v>
      </c>
      <c r="J738" s="1024" t="s">
        <v>2041</v>
      </c>
      <c r="K738" s="467"/>
      <c r="L738" s="485">
        <v>43684</v>
      </c>
      <c r="M738" s="485"/>
      <c r="N738" s="485"/>
      <c r="O738" s="485">
        <v>43952</v>
      </c>
      <c r="P738" s="471">
        <v>12</v>
      </c>
      <c r="Q738" s="761">
        <v>12</v>
      </c>
      <c r="R738" s="542">
        <v>6238000</v>
      </c>
      <c r="S738" s="791" t="s">
        <v>98</v>
      </c>
      <c r="T738" s="803" t="s">
        <v>144</v>
      </c>
      <c r="U738" s="470">
        <v>43896</v>
      </c>
      <c r="V738" s="470"/>
      <c r="W738" s="474" t="s">
        <v>1709</v>
      </c>
      <c r="X738" s="114"/>
      <c r="Y738" s="114"/>
      <c r="Z738" s="114"/>
      <c r="AA738" s="114"/>
      <c r="AB738" s="114"/>
      <c r="AC738" s="114"/>
      <c r="AD738"/>
      <c r="AE738" s="180"/>
    </row>
    <row r="739" spans="1:32" s="1" customFormat="1" ht="86.4">
      <c r="A739" s="889"/>
      <c r="B739" s="57"/>
      <c r="C739" s="4" t="s">
        <v>3588</v>
      </c>
      <c r="D739" s="31" t="s">
        <v>29</v>
      </c>
      <c r="E739" s="31"/>
      <c r="F739" s="31"/>
      <c r="G739" s="31"/>
      <c r="H739" s="5" t="s">
        <v>70</v>
      </c>
      <c r="I739" s="5" t="s">
        <v>64</v>
      </c>
      <c r="J739" s="16" t="s">
        <v>3589</v>
      </c>
      <c r="K739" s="8"/>
      <c r="L739" s="8"/>
      <c r="M739" s="193">
        <v>43739</v>
      </c>
      <c r="N739" s="193"/>
      <c r="O739" s="193">
        <v>43962</v>
      </c>
      <c r="P739" s="5">
        <v>12</v>
      </c>
      <c r="Q739" s="7" t="s">
        <v>366</v>
      </c>
      <c r="R739" s="18">
        <v>40000</v>
      </c>
      <c r="S739" s="5" t="s">
        <v>66</v>
      </c>
      <c r="T739" s="157" t="s">
        <v>110</v>
      </c>
      <c r="U739" s="12" t="s">
        <v>37</v>
      </c>
      <c r="V739" s="12"/>
      <c r="W739" s="5" t="s">
        <v>286</v>
      </c>
      <c r="X739" s="5" t="s">
        <v>1091</v>
      </c>
      <c r="Y739" s="5" t="s">
        <v>457</v>
      </c>
      <c r="Z739" s="5"/>
      <c r="AA739" s="5"/>
      <c r="AB739" s="193" t="s">
        <v>3429</v>
      </c>
      <c r="AC739" s="8" t="s">
        <v>3590</v>
      </c>
      <c r="AD739" s="70" t="s">
        <v>3483</v>
      </c>
      <c r="AE739" s="158">
        <v>20000</v>
      </c>
    </row>
    <row r="740" spans="1:32" s="1" customFormat="1" ht="66">
      <c r="A740" s="852"/>
      <c r="B740" s="713" t="s">
        <v>48</v>
      </c>
      <c r="C740" s="465" t="s">
        <v>2029</v>
      </c>
      <c r="D740" s="554" t="s">
        <v>60</v>
      </c>
      <c r="E740" s="554"/>
      <c r="F740" s="554"/>
      <c r="G740" s="554"/>
      <c r="H740" s="466" t="s">
        <v>127</v>
      </c>
      <c r="I740" s="474" t="s">
        <v>34</v>
      </c>
      <c r="J740" s="1024" t="s">
        <v>2030</v>
      </c>
      <c r="K740" s="467"/>
      <c r="L740" s="485">
        <v>43864</v>
      </c>
      <c r="M740" s="485"/>
      <c r="N740" s="485"/>
      <c r="O740" s="485">
        <v>43973</v>
      </c>
      <c r="P740" s="471">
        <v>2</v>
      </c>
      <c r="Q740" s="761">
        <v>2</v>
      </c>
      <c r="R740" s="542">
        <v>1408000</v>
      </c>
      <c r="S740" s="791" t="s">
        <v>1663</v>
      </c>
      <c r="T740" s="803" t="s">
        <v>144</v>
      </c>
      <c r="U740" s="470" t="s">
        <v>125</v>
      </c>
      <c r="V740" s="470"/>
      <c r="W740" s="474" t="s">
        <v>2031</v>
      </c>
      <c r="X740" s="114"/>
      <c r="Y740" s="114"/>
      <c r="Z740" s="114"/>
      <c r="AA740" s="114"/>
      <c r="AB740" s="114"/>
      <c r="AC740" s="114"/>
      <c r="AD740"/>
      <c r="AE740" s="180"/>
    </row>
    <row r="741" spans="1:32" s="1" customFormat="1" ht="39.6">
      <c r="A741" s="852"/>
      <c r="B741" s="713" t="s">
        <v>48</v>
      </c>
      <c r="C741" s="465" t="s">
        <v>2321</v>
      </c>
      <c r="D741" s="554" t="s">
        <v>82</v>
      </c>
      <c r="E741" s="554"/>
      <c r="F741" s="554"/>
      <c r="G741" s="554"/>
      <c r="H741" s="466" t="s">
        <v>49</v>
      </c>
      <c r="I741" s="474" t="s">
        <v>34</v>
      </c>
      <c r="J741" s="1024" t="s">
        <v>2327</v>
      </c>
      <c r="K741" s="467"/>
      <c r="L741" s="466">
        <v>12</v>
      </c>
      <c r="M741" s="469">
        <f>IF(O741="tbc","",(IFERROR(EDATE($N741,-3),"Invalid procurement method or date entered")))</f>
        <v>43520</v>
      </c>
      <c r="N741" s="469">
        <f>IF(O741="tbc","",(IFERROR(EDATE(O741,-L741),"Invalid procurement method or date entered")))</f>
        <v>43609</v>
      </c>
      <c r="O741" s="470">
        <v>43975</v>
      </c>
      <c r="P741" s="471">
        <v>13</v>
      </c>
      <c r="Q741" s="761">
        <v>13</v>
      </c>
      <c r="R741" s="483">
        <v>5350000</v>
      </c>
      <c r="S741" s="792" t="s">
        <v>98</v>
      </c>
      <c r="T741" s="803" t="s">
        <v>144</v>
      </c>
      <c r="U741" s="470" t="s">
        <v>125</v>
      </c>
      <c r="V741" s="470"/>
      <c r="W741" s="513" t="s">
        <v>1304</v>
      </c>
      <c r="X741" s="114"/>
      <c r="Y741" s="114"/>
      <c r="Z741" s="114"/>
      <c r="AA741" s="180"/>
      <c r="AB741" s="180"/>
      <c r="AC741" s="114"/>
      <c r="AD741"/>
      <c r="AE741" s="180"/>
    </row>
    <row r="742" spans="1:32" s="1" customFormat="1" ht="52.8">
      <c r="A742" s="852"/>
      <c r="B742" s="713" t="s">
        <v>48</v>
      </c>
      <c r="C742" s="465" t="s">
        <v>1962</v>
      </c>
      <c r="D742" s="554" t="s">
        <v>60</v>
      </c>
      <c r="E742" s="554"/>
      <c r="F742" s="554"/>
      <c r="G742" s="554"/>
      <c r="H742" s="466" t="s">
        <v>127</v>
      </c>
      <c r="I742" s="474" t="s">
        <v>34</v>
      </c>
      <c r="J742" s="1024" t="s">
        <v>1963</v>
      </c>
      <c r="K742" s="467"/>
      <c r="L742" s="485">
        <v>43650</v>
      </c>
      <c r="M742" s="485"/>
      <c r="N742" s="485"/>
      <c r="O742" s="485">
        <v>43978</v>
      </c>
      <c r="P742" s="471">
        <v>2</v>
      </c>
      <c r="Q742" s="471">
        <v>2</v>
      </c>
      <c r="R742" s="542">
        <v>1193600</v>
      </c>
      <c r="S742" s="478" t="s">
        <v>1663</v>
      </c>
      <c r="T742" s="803" t="s">
        <v>144</v>
      </c>
      <c r="U742" s="470"/>
      <c r="V742" s="470"/>
      <c r="W742" s="488" t="s">
        <v>1133</v>
      </c>
      <c r="X742" s="114"/>
      <c r="Y742" s="114"/>
      <c r="Z742" s="114"/>
      <c r="AA742" s="114"/>
      <c r="AB742" s="114"/>
      <c r="AC742" s="114"/>
      <c r="AD742"/>
      <c r="AE742" s="180"/>
    </row>
    <row r="743" spans="1:32" s="1" customFormat="1" ht="43.2">
      <c r="A743" s="889"/>
      <c r="B743" s="57"/>
      <c r="C743" s="4" t="s">
        <v>3591</v>
      </c>
      <c r="D743" s="31" t="s">
        <v>29</v>
      </c>
      <c r="E743" s="31"/>
      <c r="F743" s="31"/>
      <c r="G743" s="31"/>
      <c r="H743" s="5" t="s">
        <v>260</v>
      </c>
      <c r="I743" s="5" t="s">
        <v>34</v>
      </c>
      <c r="J743" s="16" t="s">
        <v>2751</v>
      </c>
      <c r="K743" s="8"/>
      <c r="L743" s="8"/>
      <c r="M743" s="193">
        <v>43647</v>
      </c>
      <c r="N743" s="193"/>
      <c r="O743" s="193">
        <v>43980</v>
      </c>
      <c r="P743" s="5">
        <v>12</v>
      </c>
      <c r="Q743" s="7" t="s">
        <v>1287</v>
      </c>
      <c r="R743" s="18">
        <v>202250</v>
      </c>
      <c r="S743" s="5" t="s">
        <v>109</v>
      </c>
      <c r="T743" s="157" t="s">
        <v>41</v>
      </c>
      <c r="U743" s="12">
        <v>43894</v>
      </c>
      <c r="V743" s="12"/>
      <c r="W743" s="5" t="s">
        <v>343</v>
      </c>
      <c r="X743" s="5" t="s">
        <v>1053</v>
      </c>
      <c r="Y743" s="5" t="s">
        <v>457</v>
      </c>
      <c r="Z743" s="5"/>
      <c r="AA743" s="5"/>
      <c r="AB743" s="193" t="s">
        <v>3429</v>
      </c>
      <c r="AC743" s="8" t="s">
        <v>1246</v>
      </c>
      <c r="AD743" s="70" t="s">
        <v>260</v>
      </c>
      <c r="AE743" s="304">
        <v>387661</v>
      </c>
    </row>
    <row r="744" spans="1:32" s="1" customFormat="1" ht="388.8">
      <c r="A744" s="888"/>
      <c r="B744" s="303"/>
      <c r="C744" s="51" t="s">
        <v>3592</v>
      </c>
      <c r="D744" s="31" t="s">
        <v>29</v>
      </c>
      <c r="E744" s="31"/>
      <c r="F744" s="31"/>
      <c r="G744" s="31"/>
      <c r="H744" s="5" t="s">
        <v>70</v>
      </c>
      <c r="I744" s="5" t="s">
        <v>64</v>
      </c>
      <c r="J744" s="16" t="s">
        <v>3593</v>
      </c>
      <c r="K744" s="8"/>
      <c r="L744" s="8"/>
      <c r="M744" s="193">
        <v>43617</v>
      </c>
      <c r="N744" s="193"/>
      <c r="O744" s="193">
        <v>43983</v>
      </c>
      <c r="P744" s="12">
        <v>36</v>
      </c>
      <c r="Q744" s="5" t="s">
        <v>1060</v>
      </c>
      <c r="R744" s="18">
        <v>57158</v>
      </c>
      <c r="S744" s="5" t="s">
        <v>66</v>
      </c>
      <c r="T744" s="161" t="s">
        <v>36</v>
      </c>
      <c r="U744" s="45" t="s">
        <v>37</v>
      </c>
      <c r="V744" s="45"/>
      <c r="W744" s="5" t="s">
        <v>3594</v>
      </c>
      <c r="X744" s="5" t="s">
        <v>1088</v>
      </c>
      <c r="Y744" s="5" t="s">
        <v>1264</v>
      </c>
      <c r="Z744" s="5"/>
      <c r="AA744" s="5"/>
      <c r="AB744" s="193" t="s">
        <v>3429</v>
      </c>
      <c r="AC744" s="8" t="s">
        <v>3595</v>
      </c>
      <c r="AD744" s="53"/>
      <c r="AE744" s="158" t="s">
        <v>3596</v>
      </c>
    </row>
    <row r="745" spans="1:32" s="1" customFormat="1" ht="72">
      <c r="A745" s="888"/>
      <c r="B745" s="303"/>
      <c r="C745" s="1351" t="s">
        <v>1103</v>
      </c>
      <c r="D745" s="31" t="s">
        <v>29</v>
      </c>
      <c r="E745" s="31"/>
      <c r="F745" s="31"/>
      <c r="G745" s="31"/>
      <c r="H745" s="5" t="s">
        <v>628</v>
      </c>
      <c r="I745" s="5" t="s">
        <v>64</v>
      </c>
      <c r="J745" s="16" t="s">
        <v>629</v>
      </c>
      <c r="K745" s="16"/>
      <c r="L745" s="16"/>
      <c r="M745" s="14">
        <v>43709</v>
      </c>
      <c r="N745" s="14"/>
      <c r="O745" s="14">
        <v>43983</v>
      </c>
      <c r="P745" s="5">
        <v>33</v>
      </c>
      <c r="Q745" s="5" t="s">
        <v>3597</v>
      </c>
      <c r="R745" s="18">
        <v>1000000</v>
      </c>
      <c r="S745" s="5" t="s">
        <v>66</v>
      </c>
      <c r="T745" s="165" t="s">
        <v>41</v>
      </c>
      <c r="U745" s="48" t="s">
        <v>35</v>
      </c>
      <c r="V745" s="48"/>
      <c r="W745" s="5" t="s">
        <v>3598</v>
      </c>
      <c r="X745" s="5" t="s">
        <v>68</v>
      </c>
      <c r="Y745" s="5" t="s">
        <v>59</v>
      </c>
      <c r="Z745" s="5"/>
      <c r="AA745" s="5"/>
      <c r="AB745" s="193" t="s">
        <v>3429</v>
      </c>
      <c r="AC745" s="8" t="s">
        <v>3599</v>
      </c>
      <c r="AD745" s="70" t="s">
        <v>42</v>
      </c>
      <c r="AE745" s="158">
        <v>350000</v>
      </c>
    </row>
    <row r="746" spans="1:32" s="1" customFormat="1" ht="57.6">
      <c r="A746" s="852"/>
      <c r="B746" s="57"/>
      <c r="C746" s="4" t="s">
        <v>3600</v>
      </c>
      <c r="D746" s="31" t="s">
        <v>60</v>
      </c>
      <c r="E746" s="31"/>
      <c r="F746" s="31"/>
      <c r="G746" s="31"/>
      <c r="H746" s="1335" t="s">
        <v>171</v>
      </c>
      <c r="I746" s="1335" t="s">
        <v>34</v>
      </c>
      <c r="J746" s="1339" t="s">
        <v>3601</v>
      </c>
      <c r="K746" s="1339"/>
      <c r="L746" s="1339"/>
      <c r="M746" s="193">
        <v>43709</v>
      </c>
      <c r="N746" s="193"/>
      <c r="O746" s="46">
        <v>43983</v>
      </c>
      <c r="P746" s="1335">
        <v>15</v>
      </c>
      <c r="Q746" s="1335">
        <v>15</v>
      </c>
      <c r="R746" s="18">
        <v>670000</v>
      </c>
      <c r="S746" s="1335" t="s">
        <v>109</v>
      </c>
      <c r="T746" s="1458" t="s">
        <v>41</v>
      </c>
      <c r="U746" s="50">
        <v>43949</v>
      </c>
      <c r="V746" s="50"/>
      <c r="W746" s="1335" t="s">
        <v>3602</v>
      </c>
      <c r="X746" s="1335" t="s">
        <v>1097</v>
      </c>
      <c r="Y746" s="5" t="s">
        <v>39</v>
      </c>
      <c r="Z746" s="5"/>
      <c r="AA746" s="1336"/>
      <c r="AB746" s="42" t="s">
        <v>3429</v>
      </c>
      <c r="AC746" s="1327" t="s">
        <v>3603</v>
      </c>
      <c r="AD746" s="70" t="s">
        <v>171</v>
      </c>
      <c r="AE746" s="1450" t="s">
        <v>3604</v>
      </c>
    </row>
    <row r="747" spans="1:32" s="1" customFormat="1" ht="28.8">
      <c r="A747" s="1364"/>
      <c r="B747" s="420" t="s">
        <v>145</v>
      </c>
      <c r="C747" s="323" t="s">
        <v>1363</v>
      </c>
      <c r="D747" s="112" t="s">
        <v>92</v>
      </c>
      <c r="E747" s="112"/>
      <c r="F747" s="112"/>
      <c r="G747" s="112"/>
      <c r="H747" s="8" t="s">
        <v>148</v>
      </c>
      <c r="I747" s="8" t="s">
        <v>34</v>
      </c>
      <c r="J747" s="16" t="s">
        <v>3605</v>
      </c>
      <c r="K747" s="8"/>
      <c r="L747" s="8"/>
      <c r="M747" s="328">
        <v>43191</v>
      </c>
      <c r="N747" s="8"/>
      <c r="O747" s="328">
        <v>43983</v>
      </c>
      <c r="P747" s="329">
        <v>60</v>
      </c>
      <c r="Q747" s="344" t="s">
        <v>162</v>
      </c>
      <c r="R747" s="332">
        <v>2390599</v>
      </c>
      <c r="S747" s="347" t="s">
        <v>607</v>
      </c>
      <c r="T747" s="350" t="s">
        <v>41</v>
      </c>
      <c r="U747" s="348">
        <v>43630</v>
      </c>
      <c r="V747" s="348"/>
      <c r="W747" s="8" t="s">
        <v>637</v>
      </c>
      <c r="X747" s="8" t="s">
        <v>2689</v>
      </c>
      <c r="Y747" s="8" t="s">
        <v>39</v>
      </c>
      <c r="Z747" s="8"/>
      <c r="AA747" s="154"/>
      <c r="AB747" s="154" t="s">
        <v>3606</v>
      </c>
      <c r="AC747" s="171"/>
      <c r="AD747" s="390"/>
      <c r="AE747" s="443"/>
      <c r="AF747" s="3"/>
    </row>
    <row r="748" spans="1:32" s="1" customFormat="1" ht="72">
      <c r="A748" s="1364"/>
      <c r="B748" s="420" t="s">
        <v>145</v>
      </c>
      <c r="C748" s="323" t="s">
        <v>43</v>
      </c>
      <c r="D748" s="112" t="s">
        <v>82</v>
      </c>
      <c r="E748" s="112"/>
      <c r="F748" s="112"/>
      <c r="G748" s="112"/>
      <c r="H748" s="8" t="s">
        <v>316</v>
      </c>
      <c r="I748" s="8" t="s">
        <v>64</v>
      </c>
      <c r="J748" s="16" t="s">
        <v>317</v>
      </c>
      <c r="K748" s="8"/>
      <c r="L748" s="8"/>
      <c r="M748" s="328">
        <v>43522</v>
      </c>
      <c r="N748" s="8"/>
      <c r="O748" s="328">
        <v>43983</v>
      </c>
      <c r="P748" s="330">
        <v>24</v>
      </c>
      <c r="Q748" s="330" t="s">
        <v>366</v>
      </c>
      <c r="R748" s="153">
        <v>64000</v>
      </c>
      <c r="S748" s="5" t="s">
        <v>217</v>
      </c>
      <c r="T748" s="437" t="s">
        <v>54</v>
      </c>
      <c r="U748" s="319" t="s">
        <v>43</v>
      </c>
      <c r="V748" s="319"/>
      <c r="W748" s="8" t="s">
        <v>1317</v>
      </c>
      <c r="X748" s="8" t="s">
        <v>2689</v>
      </c>
      <c r="Y748" s="8" t="s">
        <v>59</v>
      </c>
      <c r="Z748" s="8"/>
      <c r="AA748" s="327"/>
      <c r="AB748" s="327"/>
      <c r="AC748" s="389" t="s">
        <v>3607</v>
      </c>
      <c r="AD748" s="396"/>
      <c r="AE748" s="445"/>
    </row>
    <row r="749" spans="1:32" s="1" customFormat="1" ht="86.4">
      <c r="A749" s="888"/>
      <c r="B749" s="141" t="s">
        <v>28</v>
      </c>
      <c r="C749" s="4" t="s">
        <v>194</v>
      </c>
      <c r="D749" s="30" t="s">
        <v>29</v>
      </c>
      <c r="E749" s="30"/>
      <c r="F749" s="30"/>
      <c r="G749" s="30"/>
      <c r="H749" s="5" t="s">
        <v>70</v>
      </c>
      <c r="I749" s="5" t="s">
        <v>34</v>
      </c>
      <c r="J749" s="16" t="s">
        <v>3608</v>
      </c>
      <c r="K749" s="8"/>
      <c r="L749" s="8"/>
      <c r="M749" s="14">
        <v>43678</v>
      </c>
      <c r="N749" s="14"/>
      <c r="O749" s="14">
        <v>43983</v>
      </c>
      <c r="P749" s="12">
        <v>50</v>
      </c>
      <c r="Q749" s="5" t="s">
        <v>3609</v>
      </c>
      <c r="R749" s="18">
        <v>55000</v>
      </c>
      <c r="S749" s="193" t="s">
        <v>109</v>
      </c>
      <c r="T749" s="26" t="s">
        <v>36</v>
      </c>
      <c r="U749" s="4"/>
      <c r="V749" s="4"/>
      <c r="W749" s="5" t="s">
        <v>3610</v>
      </c>
      <c r="X749" s="5" t="s">
        <v>1053</v>
      </c>
      <c r="Y749" s="5" t="s">
        <v>457</v>
      </c>
      <c r="Z749" s="5"/>
      <c r="AA749" s="26"/>
      <c r="AB749" s="42">
        <v>43871</v>
      </c>
      <c r="AC749" s="8" t="s">
        <v>3611</v>
      </c>
      <c r="AE749" s="216"/>
    </row>
    <row r="750" spans="1:32" s="1" customFormat="1" ht="43.2">
      <c r="A750" s="889"/>
      <c r="B750" s="57"/>
      <c r="C750" s="4"/>
      <c r="D750" s="30" t="s">
        <v>29</v>
      </c>
      <c r="E750" s="30"/>
      <c r="F750" s="30"/>
      <c r="G750" s="30"/>
      <c r="H750" s="5" t="s">
        <v>165</v>
      </c>
      <c r="I750" s="12" t="s">
        <v>34</v>
      </c>
      <c r="J750" s="16" t="s">
        <v>166</v>
      </c>
      <c r="K750" s="8"/>
      <c r="L750" s="8"/>
      <c r="M750" s="193">
        <v>43709</v>
      </c>
      <c r="N750" s="193"/>
      <c r="O750" s="193">
        <v>43992</v>
      </c>
      <c r="P750" s="5">
        <v>24</v>
      </c>
      <c r="Q750" s="25" t="s">
        <v>366</v>
      </c>
      <c r="R750" s="18">
        <v>20000</v>
      </c>
      <c r="S750" s="119" t="s">
        <v>109</v>
      </c>
      <c r="T750" s="157" t="s">
        <v>54</v>
      </c>
      <c r="U750" s="11" t="s">
        <v>37</v>
      </c>
      <c r="V750" s="11"/>
      <c r="W750" s="5" t="s">
        <v>3612</v>
      </c>
      <c r="X750" s="5" t="s">
        <v>1119</v>
      </c>
      <c r="Y750" s="5" t="s">
        <v>39</v>
      </c>
      <c r="Z750" s="5"/>
      <c r="AA750" s="5"/>
      <c r="AB750" s="193" t="s">
        <v>3429</v>
      </c>
      <c r="AC750" s="8" t="s">
        <v>1266</v>
      </c>
      <c r="AD750" s="70" t="s">
        <v>42</v>
      </c>
      <c r="AE750" s="158">
        <v>10000</v>
      </c>
    </row>
    <row r="751" spans="1:32" s="1" customFormat="1" ht="72">
      <c r="A751" s="852"/>
      <c r="B751" s="57"/>
      <c r="C751" s="4"/>
      <c r="D751" s="30" t="s">
        <v>29</v>
      </c>
      <c r="E751" s="30"/>
      <c r="F751" s="30"/>
      <c r="G751" s="30"/>
      <c r="H751" s="5" t="s">
        <v>165</v>
      </c>
      <c r="I751" s="12" t="s">
        <v>34</v>
      </c>
      <c r="J751" s="16" t="s">
        <v>166</v>
      </c>
      <c r="K751" s="8"/>
      <c r="L751" s="5" t="e">
        <f>IF(OR(S751=#REF!,S751=#REF!,S751=#REF!,S751=#REF!,S751=#REF!,S751=#REF!,S751=#REF!,S751=#REF!),12,IF(OR(S751=#REF!,S751=#REF!,S751=#REF!,S751=#REF!,S751=#REF!,S751=#REF!,S751=#REF!),3,IF(S751=#REF!,1,IF(S751=#REF!,18,IF(OR(S751=#REF!,S751=#REF!,S751=#REF!,S751=#REF!,S751=#REF!),14,"Invalid proposed procurement method")))))</f>
        <v>#REF!</v>
      </c>
      <c r="M751" s="193" t="str">
        <f>IFERROR(EDATE($N751,-3),"Invalid procurement method or date entered")</f>
        <v>Invalid procurement method or date entered</v>
      </c>
      <c r="N751" s="193" t="str">
        <f>IFERROR(EDATE(O751,-L751),"Invalid procurement method or date entered")</f>
        <v>Invalid procurement method or date entered</v>
      </c>
      <c r="O751" s="193">
        <v>43993</v>
      </c>
      <c r="P751" s="5">
        <v>48</v>
      </c>
      <c r="Q751" s="25" t="s">
        <v>3613</v>
      </c>
      <c r="R751" s="39">
        <v>40000</v>
      </c>
      <c r="S751" s="119" t="s">
        <v>109</v>
      </c>
      <c r="T751" s="157" t="s">
        <v>54</v>
      </c>
      <c r="U751" s="11" t="s">
        <v>37</v>
      </c>
      <c r="V751" s="11"/>
      <c r="W751" s="5" t="s">
        <v>624</v>
      </c>
      <c r="X751" s="5" t="s">
        <v>68</v>
      </c>
      <c r="Y751" s="184" t="s">
        <v>457</v>
      </c>
      <c r="Z751" s="184"/>
      <c r="AA751" s="5" t="s">
        <v>54</v>
      </c>
      <c r="AB751" s="193" t="s">
        <v>1082</v>
      </c>
      <c r="AC751" s="8" t="s">
        <v>3614</v>
      </c>
      <c r="AD751" s="70" t="s">
        <v>42</v>
      </c>
      <c r="AE751" s="158">
        <v>10000</v>
      </c>
    </row>
    <row r="752" spans="1:32" s="1" customFormat="1" ht="15.6">
      <c r="A752" s="1061">
        <v>44974</v>
      </c>
      <c r="B752" s="1020" t="s">
        <v>210</v>
      </c>
      <c r="C752" s="1072" t="s">
        <v>3615</v>
      </c>
      <c r="D752" s="1021" t="s">
        <v>2856</v>
      </c>
      <c r="E752" s="1020" t="s">
        <v>210</v>
      </c>
      <c r="F752" s="1020" t="s">
        <v>190</v>
      </c>
      <c r="G752" s="1020" t="s">
        <v>190</v>
      </c>
      <c r="H752" s="1066" t="s">
        <v>190</v>
      </c>
      <c r="I752" s="1066" t="s">
        <v>190</v>
      </c>
      <c r="J752" s="1095" t="s">
        <v>1063</v>
      </c>
      <c r="K752" s="1072" t="s">
        <v>1064</v>
      </c>
      <c r="L752" s="1066" t="s">
        <v>190</v>
      </c>
      <c r="M752" s="1066" t="s">
        <v>190</v>
      </c>
      <c r="N752" s="1066" t="s">
        <v>190</v>
      </c>
      <c r="O752" s="1142">
        <v>43993</v>
      </c>
      <c r="P752" s="1142">
        <v>44723</v>
      </c>
      <c r="Q752" s="1075" t="s">
        <v>43</v>
      </c>
      <c r="R752" s="1176">
        <v>10000</v>
      </c>
      <c r="S752" s="1021" t="s">
        <v>2878</v>
      </c>
      <c r="T752" s="1204" t="s">
        <v>190</v>
      </c>
      <c r="U752" s="1066" t="s">
        <v>190</v>
      </c>
      <c r="V752" s="1066"/>
      <c r="W752" s="1072" t="s">
        <v>1065</v>
      </c>
      <c r="X752" s="1072" t="s">
        <v>1346</v>
      </c>
      <c r="Y752" s="1072" t="s">
        <v>1266</v>
      </c>
      <c r="Z752" s="1066" t="s">
        <v>190</v>
      </c>
      <c r="AA752" s="1066" t="s">
        <v>190</v>
      </c>
      <c r="AB752" s="1066" t="s">
        <v>190</v>
      </c>
      <c r="AC752" s="1095" t="s">
        <v>3616</v>
      </c>
      <c r="AD752" s="1068" t="s">
        <v>190</v>
      </c>
      <c r="AE752" s="1254">
        <v>10000</v>
      </c>
      <c r="AF752"/>
    </row>
    <row r="753" spans="1:32" s="1" customFormat="1" ht="43.2">
      <c r="A753" s="889"/>
      <c r="B753" s="57"/>
      <c r="C753" s="4" t="s">
        <v>43</v>
      </c>
      <c r="D753" s="30" t="s">
        <v>60</v>
      </c>
      <c r="E753" s="30"/>
      <c r="F753" s="30"/>
      <c r="G753" s="30"/>
      <c r="H753" s="5" t="s">
        <v>260</v>
      </c>
      <c r="I753" s="5" t="s">
        <v>34</v>
      </c>
      <c r="J753" s="16" t="s">
        <v>1325</v>
      </c>
      <c r="K753" s="8"/>
      <c r="L753" s="8"/>
      <c r="M753" s="193">
        <v>43783</v>
      </c>
      <c r="N753" s="193"/>
      <c r="O753" s="193">
        <v>44013</v>
      </c>
      <c r="P753" s="5">
        <v>36</v>
      </c>
      <c r="Q753" s="7" t="s">
        <v>488</v>
      </c>
      <c r="R753" s="18">
        <v>3150000</v>
      </c>
      <c r="S753" s="5" t="s">
        <v>1163</v>
      </c>
      <c r="T753" s="26" t="s">
        <v>41</v>
      </c>
      <c r="U753" s="176">
        <v>43891</v>
      </c>
      <c r="V753" s="176"/>
      <c r="W753" s="5" t="s">
        <v>233</v>
      </c>
      <c r="X753" s="5" t="s">
        <v>1053</v>
      </c>
      <c r="Y753" s="5" t="s">
        <v>457</v>
      </c>
      <c r="Z753" s="5"/>
      <c r="AA753" s="5"/>
      <c r="AB753" s="193" t="s">
        <v>3429</v>
      </c>
      <c r="AC753" s="35" t="s">
        <v>3617</v>
      </c>
      <c r="AD753" s="70" t="s">
        <v>260</v>
      </c>
      <c r="AE753" s="158"/>
    </row>
    <row r="754" spans="1:32" s="1" customFormat="1" ht="28.8">
      <c r="A754" s="888"/>
      <c r="B754" s="420" t="s">
        <v>145</v>
      </c>
      <c r="C754" s="323"/>
      <c r="D754" s="112" t="s">
        <v>29</v>
      </c>
      <c r="E754" s="112"/>
      <c r="F754" s="112"/>
      <c r="G754" s="112"/>
      <c r="H754" s="8" t="s">
        <v>148</v>
      </c>
      <c r="I754" s="8" t="s">
        <v>50</v>
      </c>
      <c r="J754" s="16" t="s">
        <v>567</v>
      </c>
      <c r="K754" s="8"/>
      <c r="L754" s="8"/>
      <c r="M754" s="328">
        <v>43862</v>
      </c>
      <c r="N754" s="8"/>
      <c r="O754" s="328">
        <v>44013</v>
      </c>
      <c r="P754" s="329">
        <v>60</v>
      </c>
      <c r="Q754" s="329" t="s">
        <v>358</v>
      </c>
      <c r="R754" s="153">
        <v>400000</v>
      </c>
      <c r="S754" s="5" t="s">
        <v>53</v>
      </c>
      <c r="T754" s="350" t="s">
        <v>54</v>
      </c>
      <c r="U754" s="348"/>
      <c r="V754" s="348"/>
      <c r="W754" s="8" t="s">
        <v>512</v>
      </c>
      <c r="X754" s="8" t="s">
        <v>428</v>
      </c>
      <c r="Y754" s="8" t="s">
        <v>457</v>
      </c>
      <c r="Z754" s="8"/>
      <c r="AA754" s="325"/>
      <c r="AB754" s="325"/>
      <c r="AC754" s="324" t="s">
        <v>3618</v>
      </c>
      <c r="AD754" s="359"/>
      <c r="AE754" s="456"/>
    </row>
    <row r="755" spans="1:32" s="1" customFormat="1" ht="43.35" customHeight="1">
      <c r="A755" s="888"/>
      <c r="B755" s="420" t="s">
        <v>145</v>
      </c>
      <c r="C755" s="323"/>
      <c r="D755" s="112" t="s">
        <v>92</v>
      </c>
      <c r="E755" s="112"/>
      <c r="F755" s="112"/>
      <c r="G755" s="112"/>
      <c r="H755" s="8" t="s">
        <v>148</v>
      </c>
      <c r="I755" s="8" t="s">
        <v>64</v>
      </c>
      <c r="J755" s="16" t="s">
        <v>3619</v>
      </c>
      <c r="K755" s="8"/>
      <c r="L755" s="8"/>
      <c r="M755" s="328">
        <v>43903</v>
      </c>
      <c r="N755" s="8"/>
      <c r="O755" s="328">
        <v>44013</v>
      </c>
      <c r="P755" s="66">
        <v>60</v>
      </c>
      <c r="Q755" s="159">
        <v>60</v>
      </c>
      <c r="R755" s="153">
        <v>50000</v>
      </c>
      <c r="S755" s="5" t="s">
        <v>66</v>
      </c>
      <c r="T755" s="350" t="s">
        <v>54</v>
      </c>
      <c r="U755" s="326"/>
      <c r="V755" s="326"/>
      <c r="W755" s="8" t="s">
        <v>3620</v>
      </c>
      <c r="X755" s="8" t="s">
        <v>428</v>
      </c>
      <c r="Y755" s="8" t="s">
        <v>59</v>
      </c>
      <c r="Z755" s="8"/>
      <c r="AA755" s="1229"/>
      <c r="AB755" s="445" t="s">
        <v>3621</v>
      </c>
      <c r="AC755" s="171"/>
      <c r="AD755" s="390"/>
      <c r="AE755" s="443"/>
    </row>
    <row r="756" spans="1:32" s="1" customFormat="1" ht="43.35" customHeight="1">
      <c r="A756" s="852"/>
      <c r="B756" s="713" t="s">
        <v>48</v>
      </c>
      <c r="C756" s="305"/>
      <c r="D756" s="554" t="s">
        <v>29</v>
      </c>
      <c r="E756" s="554"/>
      <c r="F756" s="554"/>
      <c r="G756" s="554"/>
      <c r="H756" s="466" t="s">
        <v>49</v>
      </c>
      <c r="I756" s="474" t="s">
        <v>34</v>
      </c>
      <c r="J756" s="549" t="s">
        <v>1647</v>
      </c>
      <c r="K756" s="484"/>
      <c r="L756" s="545">
        <v>43832</v>
      </c>
      <c r="M756" s="545"/>
      <c r="N756" s="545"/>
      <c r="O756" s="540">
        <v>44013</v>
      </c>
      <c r="P756" s="471" t="s">
        <v>125</v>
      </c>
      <c r="Q756" s="761" t="s">
        <v>125</v>
      </c>
      <c r="R756" s="547" t="s">
        <v>125</v>
      </c>
      <c r="S756" s="791" t="s">
        <v>125</v>
      </c>
      <c r="T756" s="803" t="s">
        <v>1218</v>
      </c>
      <c r="U756" s="470"/>
      <c r="V756" s="470"/>
      <c r="W756" s="474" t="s">
        <v>406</v>
      </c>
      <c r="X756" s="114"/>
      <c r="Y756" s="114"/>
      <c r="Z756" s="114"/>
      <c r="AA756" s="114"/>
      <c r="AB756" s="114"/>
      <c r="AC756" s="114"/>
      <c r="AD756"/>
      <c r="AE756" s="180"/>
    </row>
    <row r="757" spans="1:32" s="1" customFormat="1" ht="43.35" customHeight="1">
      <c r="A757" s="852"/>
      <c r="B757" s="713" t="s">
        <v>48</v>
      </c>
      <c r="C757" s="305"/>
      <c r="D757" s="554" t="s">
        <v>29</v>
      </c>
      <c r="E757" s="554"/>
      <c r="F757" s="554"/>
      <c r="G757" s="554"/>
      <c r="H757" s="466" t="s">
        <v>49</v>
      </c>
      <c r="I757" s="474" t="s">
        <v>34</v>
      </c>
      <c r="J757" s="549" t="s">
        <v>1649</v>
      </c>
      <c r="K757" s="484"/>
      <c r="L757" s="545">
        <v>43832</v>
      </c>
      <c r="M757" s="545"/>
      <c r="N757" s="545"/>
      <c r="O757" s="540">
        <v>44013</v>
      </c>
      <c r="P757" s="471" t="s">
        <v>125</v>
      </c>
      <c r="Q757" s="471" t="s">
        <v>125</v>
      </c>
      <c r="R757" s="547" t="s">
        <v>125</v>
      </c>
      <c r="S757" s="478" t="s">
        <v>125</v>
      </c>
      <c r="T757" s="803" t="s">
        <v>54</v>
      </c>
      <c r="U757" s="470"/>
      <c r="V757" s="470"/>
      <c r="W757" s="474" t="s">
        <v>406</v>
      </c>
      <c r="X757" s="114"/>
      <c r="Y757" s="114"/>
      <c r="Z757" s="114"/>
      <c r="AA757" s="114"/>
      <c r="AB757" s="114"/>
      <c r="AC757" s="114"/>
      <c r="AD757"/>
      <c r="AE757" s="180"/>
    </row>
    <row r="758" spans="1:32" s="1" customFormat="1" ht="39.6">
      <c r="A758" s="852"/>
      <c r="B758" s="713" t="s">
        <v>48</v>
      </c>
      <c r="C758" s="305"/>
      <c r="D758" s="554" t="s">
        <v>29</v>
      </c>
      <c r="E758" s="554"/>
      <c r="F758" s="554"/>
      <c r="G758" s="554"/>
      <c r="H758" s="466" t="s">
        <v>49</v>
      </c>
      <c r="I758" s="474" t="s">
        <v>34</v>
      </c>
      <c r="J758" s="549" t="s">
        <v>1650</v>
      </c>
      <c r="K758" s="484"/>
      <c r="L758" s="545">
        <v>43832</v>
      </c>
      <c r="M758" s="545"/>
      <c r="N758" s="545"/>
      <c r="O758" s="540">
        <v>44013</v>
      </c>
      <c r="P758" s="471" t="s">
        <v>125</v>
      </c>
      <c r="Q758" s="761" t="s">
        <v>125</v>
      </c>
      <c r="R758" s="547" t="s">
        <v>125</v>
      </c>
      <c r="S758" s="791" t="s">
        <v>125</v>
      </c>
      <c r="T758" s="803" t="s">
        <v>54</v>
      </c>
      <c r="U758" s="470"/>
      <c r="V758" s="470"/>
      <c r="W758" s="474" t="s">
        <v>406</v>
      </c>
      <c r="X758" s="114"/>
      <c r="Y758" s="114"/>
      <c r="Z758" s="114"/>
      <c r="AA758" s="114"/>
      <c r="AB758" s="114"/>
      <c r="AC758" s="114"/>
      <c r="AD758"/>
      <c r="AE758" s="180"/>
    </row>
    <row r="759" spans="1:32" s="1" customFormat="1" ht="39.6">
      <c r="A759" s="852"/>
      <c r="B759" s="713" t="s">
        <v>48</v>
      </c>
      <c r="C759" s="305"/>
      <c r="D759" s="554" t="s">
        <v>29</v>
      </c>
      <c r="E759" s="554"/>
      <c r="F759" s="554"/>
      <c r="G759" s="554"/>
      <c r="H759" s="466" t="s">
        <v>49</v>
      </c>
      <c r="I759" s="474" t="s">
        <v>34</v>
      </c>
      <c r="J759" s="549" t="s">
        <v>1660</v>
      </c>
      <c r="K759" s="484"/>
      <c r="L759" s="545">
        <v>43832</v>
      </c>
      <c r="M759" s="545"/>
      <c r="N759" s="545"/>
      <c r="O759" s="540">
        <v>44013</v>
      </c>
      <c r="P759" s="471" t="s">
        <v>125</v>
      </c>
      <c r="Q759" s="761" t="s">
        <v>125</v>
      </c>
      <c r="R759" s="542">
        <v>1329000</v>
      </c>
      <c r="S759" s="791" t="s">
        <v>125</v>
      </c>
      <c r="T759" s="803" t="s">
        <v>824</v>
      </c>
      <c r="U759" s="470"/>
      <c r="V759" s="470"/>
      <c r="W759" s="474" t="s">
        <v>406</v>
      </c>
      <c r="X759" s="114"/>
      <c r="Y759" s="114"/>
      <c r="Z759" s="114"/>
      <c r="AA759" s="180"/>
      <c r="AB759" s="180"/>
      <c r="AC759" s="114"/>
      <c r="AD759"/>
      <c r="AE759" s="180"/>
    </row>
    <row r="760" spans="1:32" s="1" customFormat="1" ht="39.6">
      <c r="A760" s="852"/>
      <c r="B760" s="713" t="s">
        <v>48</v>
      </c>
      <c r="C760" s="465" t="s">
        <v>188</v>
      </c>
      <c r="D760" s="554" t="s">
        <v>82</v>
      </c>
      <c r="E760" s="554"/>
      <c r="F760" s="554"/>
      <c r="G760" s="554"/>
      <c r="H760" s="466" t="s">
        <v>49</v>
      </c>
      <c r="I760" s="474" t="s">
        <v>34</v>
      </c>
      <c r="J760" s="1024" t="s">
        <v>1990</v>
      </c>
      <c r="K760" s="467"/>
      <c r="L760" s="485">
        <v>43862</v>
      </c>
      <c r="M760" s="485"/>
      <c r="N760" s="485"/>
      <c r="O760" s="485">
        <v>44013</v>
      </c>
      <c r="P760" s="471" t="s">
        <v>125</v>
      </c>
      <c r="Q760" s="761" t="s">
        <v>125</v>
      </c>
      <c r="R760" s="542" t="s">
        <v>125</v>
      </c>
      <c r="S760" s="478" t="s">
        <v>1163</v>
      </c>
      <c r="T760" s="803" t="s">
        <v>125</v>
      </c>
      <c r="U760" s="470"/>
      <c r="V760" s="470"/>
      <c r="W760" s="488"/>
      <c r="X760" s="114"/>
      <c r="Y760" s="114"/>
      <c r="Z760" s="114"/>
      <c r="AA760" s="180"/>
      <c r="AB760" s="180"/>
      <c r="AC760" s="114"/>
      <c r="AD760"/>
      <c r="AE760" s="180"/>
    </row>
    <row r="761" spans="1:32" s="1" customFormat="1" ht="39.6">
      <c r="A761" s="852"/>
      <c r="B761" s="713" t="s">
        <v>48</v>
      </c>
      <c r="C761" s="465" t="s">
        <v>188</v>
      </c>
      <c r="D761" s="554" t="s">
        <v>82</v>
      </c>
      <c r="E761" s="554"/>
      <c r="F761" s="554"/>
      <c r="G761" s="554"/>
      <c r="H761" s="466" t="s">
        <v>49</v>
      </c>
      <c r="I761" s="474" t="s">
        <v>34</v>
      </c>
      <c r="J761" s="1024" t="s">
        <v>1991</v>
      </c>
      <c r="K761" s="467"/>
      <c r="L761" s="485">
        <v>43862</v>
      </c>
      <c r="M761" s="485"/>
      <c r="N761" s="485"/>
      <c r="O761" s="485">
        <v>44013</v>
      </c>
      <c r="P761" s="471" t="s">
        <v>125</v>
      </c>
      <c r="Q761" s="761" t="s">
        <v>125</v>
      </c>
      <c r="R761" s="542" t="s">
        <v>125</v>
      </c>
      <c r="S761" s="791" t="s">
        <v>1163</v>
      </c>
      <c r="T761" s="803" t="s">
        <v>125</v>
      </c>
      <c r="U761" s="470"/>
      <c r="V761" s="470"/>
      <c r="W761" s="488"/>
      <c r="X761" s="114"/>
      <c r="Y761" s="114"/>
      <c r="Z761" s="114"/>
      <c r="AA761" s="114"/>
      <c r="AB761" s="114"/>
      <c r="AC761" s="114"/>
      <c r="AD761"/>
      <c r="AE761" s="180"/>
    </row>
    <row r="762" spans="1:32" s="1" customFormat="1" ht="52.8">
      <c r="A762" s="852"/>
      <c r="B762" s="713" t="s">
        <v>48</v>
      </c>
      <c r="C762" s="465" t="s">
        <v>125</v>
      </c>
      <c r="D762" s="554" t="s">
        <v>82</v>
      </c>
      <c r="E762" s="554"/>
      <c r="F762" s="554"/>
      <c r="G762" s="554"/>
      <c r="H762" s="466" t="s">
        <v>49</v>
      </c>
      <c r="I762" s="474" t="s">
        <v>34</v>
      </c>
      <c r="J762" s="1024" t="s">
        <v>1999</v>
      </c>
      <c r="K762" s="467"/>
      <c r="L762" s="485">
        <v>43832</v>
      </c>
      <c r="M762" s="485"/>
      <c r="N762" s="485"/>
      <c r="O762" s="485">
        <v>44013</v>
      </c>
      <c r="P762" s="471" t="s">
        <v>125</v>
      </c>
      <c r="Q762" s="761" t="s">
        <v>125</v>
      </c>
      <c r="R762" s="542">
        <v>4000000</v>
      </c>
      <c r="S762" s="791" t="s">
        <v>125</v>
      </c>
      <c r="T762" s="470" t="s">
        <v>144</v>
      </c>
      <c r="U762" s="470"/>
      <c r="V762" s="470"/>
      <c r="W762" s="488" t="s">
        <v>1467</v>
      </c>
      <c r="X762" s="114"/>
      <c r="Y762" s="114"/>
      <c r="Z762" s="114"/>
      <c r="AA762" s="114"/>
      <c r="AB762" s="114"/>
      <c r="AC762" s="114"/>
      <c r="AD762" s="303"/>
      <c r="AE762" s="180"/>
    </row>
    <row r="763" spans="1:32" s="1" customFormat="1" ht="52.8">
      <c r="A763" s="852"/>
      <c r="B763" s="713" t="s">
        <v>48</v>
      </c>
      <c r="C763" s="465" t="s">
        <v>2042</v>
      </c>
      <c r="D763" s="554" t="s">
        <v>82</v>
      </c>
      <c r="E763" s="554"/>
      <c r="F763" s="554"/>
      <c r="G763" s="554"/>
      <c r="H763" s="466" t="s">
        <v>49</v>
      </c>
      <c r="I763" s="474" t="s">
        <v>34</v>
      </c>
      <c r="J763" s="1024" t="s">
        <v>2043</v>
      </c>
      <c r="K763" s="467"/>
      <c r="L763" s="485">
        <v>43739</v>
      </c>
      <c r="M763" s="485"/>
      <c r="N763" s="485"/>
      <c r="O763" s="485">
        <v>44013</v>
      </c>
      <c r="P763" s="471">
        <v>10</v>
      </c>
      <c r="Q763" s="761">
        <v>10</v>
      </c>
      <c r="R763" s="542">
        <v>2200000</v>
      </c>
      <c r="S763" s="791" t="s">
        <v>1144</v>
      </c>
      <c r="T763" s="803" t="s">
        <v>144</v>
      </c>
      <c r="U763" s="470" t="s">
        <v>125</v>
      </c>
      <c r="V763" s="470"/>
      <c r="W763" s="474" t="s">
        <v>1734</v>
      </c>
      <c r="X763" s="114"/>
      <c r="Y763" s="114"/>
      <c r="Z763" s="114"/>
      <c r="AA763" s="114"/>
      <c r="AB763" s="114"/>
      <c r="AC763" s="114"/>
      <c r="AD763"/>
      <c r="AE763" s="180"/>
    </row>
    <row r="764" spans="1:32" s="1" customFormat="1" ht="52.8">
      <c r="A764" s="852"/>
      <c r="B764" s="713" t="s">
        <v>48</v>
      </c>
      <c r="C764" s="465" t="s">
        <v>125</v>
      </c>
      <c r="D764" s="554" t="s">
        <v>29</v>
      </c>
      <c r="E764" s="554"/>
      <c r="F764" s="554"/>
      <c r="G764" s="554"/>
      <c r="H764" s="466" t="s">
        <v>49</v>
      </c>
      <c r="I764" s="474" t="s">
        <v>34</v>
      </c>
      <c r="J764" s="1024" t="s">
        <v>2052</v>
      </c>
      <c r="K764" s="467"/>
      <c r="L764" s="470" t="s">
        <v>125</v>
      </c>
      <c r="M764" s="470"/>
      <c r="N764" s="470"/>
      <c r="O764" s="470">
        <v>44013</v>
      </c>
      <c r="P764" s="471" t="s">
        <v>125</v>
      </c>
      <c r="Q764" s="471" t="s">
        <v>125</v>
      </c>
      <c r="R764" s="542">
        <v>8000000</v>
      </c>
      <c r="S764" s="478" t="s">
        <v>125</v>
      </c>
      <c r="T764" s="803" t="s">
        <v>144</v>
      </c>
      <c r="U764" s="470" t="s">
        <v>125</v>
      </c>
      <c r="V764" s="470"/>
      <c r="W764" s="474" t="s">
        <v>2053</v>
      </c>
      <c r="X764" s="114"/>
      <c r="Y764" s="114"/>
      <c r="Z764" s="114"/>
      <c r="AA764" s="114"/>
      <c r="AB764" s="114"/>
      <c r="AC764" s="114"/>
      <c r="AD764"/>
      <c r="AE764" s="180"/>
    </row>
    <row r="765" spans="1:32" s="1" customFormat="1" ht="105.6">
      <c r="A765" s="852"/>
      <c r="B765" s="713" t="s">
        <v>48</v>
      </c>
      <c r="C765" s="465" t="s">
        <v>2081</v>
      </c>
      <c r="D765" s="554" t="s">
        <v>82</v>
      </c>
      <c r="E765" s="554"/>
      <c r="F765" s="554"/>
      <c r="G765" s="554"/>
      <c r="H765" s="466" t="s">
        <v>49</v>
      </c>
      <c r="I765" s="474" t="s">
        <v>34</v>
      </c>
      <c r="J765" s="1024" t="s">
        <v>2082</v>
      </c>
      <c r="K765" s="467"/>
      <c r="L765" s="470">
        <v>43983</v>
      </c>
      <c r="M765" s="470"/>
      <c r="N765" s="470"/>
      <c r="O765" s="470">
        <v>44013</v>
      </c>
      <c r="P765" s="471">
        <v>2</v>
      </c>
      <c r="Q765" s="761">
        <v>2</v>
      </c>
      <c r="R765" s="542">
        <v>220000</v>
      </c>
      <c r="S765" s="792" t="s">
        <v>1163</v>
      </c>
      <c r="T765" s="803" t="s">
        <v>144</v>
      </c>
      <c r="U765" s="470" t="s">
        <v>125</v>
      </c>
      <c r="V765" s="470"/>
      <c r="W765" s="474" t="s">
        <v>2048</v>
      </c>
      <c r="X765" s="114"/>
      <c r="Y765" s="114"/>
      <c r="Z765" s="114"/>
      <c r="AA765" s="180"/>
      <c r="AB765" s="180"/>
      <c r="AC765" s="114"/>
      <c r="AD765"/>
      <c r="AE765" s="180"/>
    </row>
    <row r="766" spans="1:32" s="1" customFormat="1" ht="15.6">
      <c r="A766" s="1061">
        <v>44974</v>
      </c>
      <c r="B766" s="1020" t="s">
        <v>210</v>
      </c>
      <c r="C766" s="1072" t="s">
        <v>3622</v>
      </c>
      <c r="D766" s="1021" t="s">
        <v>2856</v>
      </c>
      <c r="E766" s="1020" t="s">
        <v>210</v>
      </c>
      <c r="F766" s="1020" t="s">
        <v>190</v>
      </c>
      <c r="G766" s="1020" t="s">
        <v>190</v>
      </c>
      <c r="H766" s="1066" t="s">
        <v>190</v>
      </c>
      <c r="I766" s="1066" t="s">
        <v>190</v>
      </c>
      <c r="J766" s="1095" t="s">
        <v>1164</v>
      </c>
      <c r="K766" s="1072" t="s">
        <v>3623</v>
      </c>
      <c r="L766" s="1066" t="s">
        <v>190</v>
      </c>
      <c r="M766" s="1066" t="s">
        <v>190</v>
      </c>
      <c r="N766" s="1066" t="s">
        <v>190</v>
      </c>
      <c r="O766" s="1142">
        <v>44013</v>
      </c>
      <c r="P766" s="1142">
        <v>45107</v>
      </c>
      <c r="Q766" s="1075" t="s">
        <v>562</v>
      </c>
      <c r="R766" s="1176">
        <v>42140</v>
      </c>
      <c r="S766" s="1021" t="s">
        <v>296</v>
      </c>
      <c r="T766" s="1204" t="s">
        <v>190</v>
      </c>
      <c r="U766" s="1066" t="s">
        <v>190</v>
      </c>
      <c r="V766" s="1066"/>
      <c r="W766" s="1072" t="s">
        <v>3624</v>
      </c>
      <c r="X766" s="1072" t="s">
        <v>1346</v>
      </c>
      <c r="Y766" s="1072" t="s">
        <v>1266</v>
      </c>
      <c r="Z766" s="1066" t="s">
        <v>190</v>
      </c>
      <c r="AA766" s="1204" t="s">
        <v>190</v>
      </c>
      <c r="AB766" s="1204" t="s">
        <v>190</v>
      </c>
      <c r="AC766" s="1095" t="s">
        <v>190</v>
      </c>
      <c r="AD766" s="1068" t="s">
        <v>190</v>
      </c>
      <c r="AE766" s="1254">
        <v>42140</v>
      </c>
      <c r="AF766"/>
    </row>
    <row r="767" spans="1:32" s="1" customFormat="1" ht="52.8">
      <c r="A767" s="852"/>
      <c r="B767" s="713" t="s">
        <v>48</v>
      </c>
      <c r="C767" s="465" t="s">
        <v>125</v>
      </c>
      <c r="D767" s="554" t="s">
        <v>60</v>
      </c>
      <c r="E767" s="554"/>
      <c r="F767" s="554"/>
      <c r="G767" s="554"/>
      <c r="H767" s="466" t="s">
        <v>127</v>
      </c>
      <c r="I767" s="474" t="s">
        <v>34</v>
      </c>
      <c r="J767" s="1024" t="s">
        <v>2078</v>
      </c>
      <c r="K767" s="467"/>
      <c r="L767" s="470">
        <v>43922</v>
      </c>
      <c r="M767" s="470"/>
      <c r="N767" s="470"/>
      <c r="O767" s="470">
        <v>44025</v>
      </c>
      <c r="P767" s="471" t="s">
        <v>125</v>
      </c>
      <c r="Q767" s="471" t="s">
        <v>125</v>
      </c>
      <c r="R767" s="542">
        <f>276000+644000</f>
        <v>920000</v>
      </c>
      <c r="S767" s="792" t="s">
        <v>158</v>
      </c>
      <c r="T767" s="803" t="s">
        <v>144</v>
      </c>
      <c r="U767" s="470">
        <v>43700</v>
      </c>
      <c r="V767" s="470"/>
      <c r="W767" s="474" t="s">
        <v>1328</v>
      </c>
      <c r="X767" s="114"/>
      <c r="Y767" s="114"/>
      <c r="Z767" s="114"/>
      <c r="AA767" s="180"/>
      <c r="AB767" s="180"/>
      <c r="AC767" s="114"/>
      <c r="AD767"/>
      <c r="AE767" s="180"/>
    </row>
    <row r="768" spans="1:32" s="1" customFormat="1" ht="57.6" customHeight="1">
      <c r="A768" s="852"/>
      <c r="B768" s="713" t="s">
        <v>48</v>
      </c>
      <c r="C768" s="465" t="s">
        <v>2046</v>
      </c>
      <c r="D768" s="554" t="s">
        <v>82</v>
      </c>
      <c r="E768" s="554"/>
      <c r="F768" s="554"/>
      <c r="G768" s="554"/>
      <c r="H768" s="466" t="s">
        <v>49</v>
      </c>
      <c r="I768" s="474" t="s">
        <v>34</v>
      </c>
      <c r="J768" s="1024" t="s">
        <v>2047</v>
      </c>
      <c r="K768" s="467"/>
      <c r="L768" s="485">
        <v>43847</v>
      </c>
      <c r="M768" s="485"/>
      <c r="N768" s="485"/>
      <c r="O768" s="485">
        <v>44032</v>
      </c>
      <c r="P768" s="471">
        <v>2</v>
      </c>
      <c r="Q768" s="761">
        <v>2</v>
      </c>
      <c r="R768" s="542">
        <v>100000</v>
      </c>
      <c r="S768" s="791" t="s">
        <v>1163</v>
      </c>
      <c r="T768" s="803" t="s">
        <v>36</v>
      </c>
      <c r="U768" s="470" t="s">
        <v>100</v>
      </c>
      <c r="V768" s="470"/>
      <c r="W768" s="474" t="s">
        <v>2048</v>
      </c>
      <c r="X768" s="114"/>
      <c r="Y768" s="114"/>
      <c r="Z768" s="114"/>
      <c r="AA768" s="180"/>
      <c r="AB768" s="180"/>
      <c r="AC768" s="114"/>
      <c r="AD768"/>
      <c r="AE768" s="180"/>
    </row>
    <row r="769" spans="1:32" s="1" customFormat="1" ht="39.6">
      <c r="A769" s="852"/>
      <c r="B769" s="713" t="s">
        <v>48</v>
      </c>
      <c r="C769" s="465" t="s">
        <v>2079</v>
      </c>
      <c r="D769" s="554" t="s">
        <v>82</v>
      </c>
      <c r="E769" s="554"/>
      <c r="F769" s="554"/>
      <c r="G769" s="554"/>
      <c r="H769" s="466" t="s">
        <v>49</v>
      </c>
      <c r="I769" s="474" t="s">
        <v>34</v>
      </c>
      <c r="J769" s="1024" t="s">
        <v>2080</v>
      </c>
      <c r="K769" s="467"/>
      <c r="L769" s="470">
        <v>43892</v>
      </c>
      <c r="M769" s="470"/>
      <c r="N769" s="470"/>
      <c r="O769" s="470">
        <v>44032</v>
      </c>
      <c r="P769" s="471">
        <v>2</v>
      </c>
      <c r="Q769" s="761">
        <v>2</v>
      </c>
      <c r="R769" s="542">
        <v>429000</v>
      </c>
      <c r="S769" s="792" t="s">
        <v>1163</v>
      </c>
      <c r="T769" s="803" t="s">
        <v>36</v>
      </c>
      <c r="U769" s="470" t="s">
        <v>125</v>
      </c>
      <c r="V769" s="470"/>
      <c r="W769" s="474" t="s">
        <v>1709</v>
      </c>
      <c r="X769" s="114"/>
      <c r="Y769" s="114"/>
      <c r="Z769" s="114"/>
      <c r="AA769" s="114"/>
      <c r="AB769" s="114"/>
      <c r="AC769" s="114"/>
      <c r="AD769"/>
      <c r="AE769" s="180"/>
    </row>
    <row r="770" spans="1:32" s="1" customFormat="1" ht="39.6">
      <c r="A770" s="852"/>
      <c r="B770" s="713" t="s">
        <v>48</v>
      </c>
      <c r="C770" s="465" t="s">
        <v>2112</v>
      </c>
      <c r="D770" s="554" t="s">
        <v>82</v>
      </c>
      <c r="E770" s="554"/>
      <c r="F770" s="554"/>
      <c r="G770" s="554"/>
      <c r="H770" s="466" t="s">
        <v>49</v>
      </c>
      <c r="I770" s="474" t="s">
        <v>34</v>
      </c>
      <c r="J770" s="1024" t="s">
        <v>2113</v>
      </c>
      <c r="K770" s="467"/>
      <c r="L770" s="470">
        <v>43906</v>
      </c>
      <c r="M770" s="470"/>
      <c r="N770" s="470"/>
      <c r="O770" s="470">
        <v>44032</v>
      </c>
      <c r="P770" s="471">
        <v>7</v>
      </c>
      <c r="Q770" s="471">
        <v>7</v>
      </c>
      <c r="R770" s="542">
        <v>1600000</v>
      </c>
      <c r="S770" s="470" t="s">
        <v>1163</v>
      </c>
      <c r="T770" s="803" t="s">
        <v>144</v>
      </c>
      <c r="U770" s="470" t="s">
        <v>125</v>
      </c>
      <c r="V770" s="470"/>
      <c r="W770" s="474" t="s">
        <v>1734</v>
      </c>
      <c r="X770" s="114"/>
      <c r="Y770" s="114"/>
      <c r="Z770" s="114"/>
      <c r="AA770" s="114"/>
      <c r="AB770" s="114"/>
      <c r="AC770" s="114"/>
      <c r="AD770"/>
      <c r="AE770" s="180"/>
    </row>
    <row r="771" spans="1:32" s="1" customFormat="1" ht="115.35" customHeight="1">
      <c r="A771" s="852"/>
      <c r="B771" s="57"/>
      <c r="C771" s="4"/>
      <c r="D771" s="31" t="s">
        <v>29</v>
      </c>
      <c r="E771" s="31"/>
      <c r="F771" s="31"/>
      <c r="G771" s="31"/>
      <c r="H771" s="5" t="s">
        <v>3625</v>
      </c>
      <c r="I771" s="12" t="s">
        <v>64</v>
      </c>
      <c r="J771" s="185" t="s">
        <v>3626</v>
      </c>
      <c r="K771" s="185"/>
      <c r="L771" s="5" t="e">
        <f>IF(OR(S771=#REF!,S771=#REF!,S771=#REF!,S771=#REF!,S771=#REF!,S771=#REF!,S771=#REF!,S771=#REF!),12,IF(OR(S771=#REF!,S771=#REF!,S771=#REF!,S771=#REF!,S771=#REF!,S771=#REF!,S771=#REF!),3,IF(S771=#REF!,1,IF(S771=#REF!,18,IF(OR(S771=#REF!,S771=#REF!,S771=#REF!,S771=#REF!,S771=#REF!),14,"Invalid proposed procurement method")))))</f>
        <v>#REF!</v>
      </c>
      <c r="M771" s="193" t="str">
        <f>IFERROR(EDATE($N771,-3),"Invalid procurement method or date entered")</f>
        <v>Invalid procurement method or date entered</v>
      </c>
      <c r="N771" s="193" t="str">
        <f>IFERROR(EDATE(O771,-L771),"Invalid procurement method or date entered")</f>
        <v>Invalid procurement method or date entered</v>
      </c>
      <c r="O771" s="193">
        <v>44044</v>
      </c>
      <c r="P771" s="12">
        <v>48</v>
      </c>
      <c r="Q771" s="7" t="s">
        <v>1061</v>
      </c>
      <c r="R771" s="18">
        <v>200000</v>
      </c>
      <c r="S771" s="5" t="s">
        <v>66</v>
      </c>
      <c r="T771" s="157" t="s">
        <v>54</v>
      </c>
      <c r="U771" s="11" t="s">
        <v>37</v>
      </c>
      <c r="V771" s="11"/>
      <c r="W771" s="5" t="s">
        <v>3627</v>
      </c>
      <c r="X771" s="5" t="s">
        <v>68</v>
      </c>
      <c r="Y771" s="5" t="s">
        <v>457</v>
      </c>
      <c r="Z771" s="5"/>
      <c r="AA771" s="5" t="s">
        <v>41</v>
      </c>
      <c r="AB771" s="193" t="s">
        <v>1082</v>
      </c>
      <c r="AC771" s="8" t="s">
        <v>3628</v>
      </c>
      <c r="AD771" s="70" t="s">
        <v>42</v>
      </c>
      <c r="AE771" s="158">
        <v>50000</v>
      </c>
    </row>
    <row r="772" spans="1:32" s="34" customFormat="1" ht="57.6">
      <c r="A772" s="888"/>
      <c r="B772" s="141" t="s">
        <v>28</v>
      </c>
      <c r="C772" s="4" t="s">
        <v>35</v>
      </c>
      <c r="D772" s="5" t="s">
        <v>29</v>
      </c>
      <c r="E772" s="5"/>
      <c r="F772" s="5"/>
      <c r="G772" s="5"/>
      <c r="H772" s="5" t="s">
        <v>70</v>
      </c>
      <c r="I772" s="5" t="s">
        <v>64</v>
      </c>
      <c r="J772" s="16" t="s">
        <v>2899</v>
      </c>
      <c r="K772" s="8"/>
      <c r="L772" s="8"/>
      <c r="M772" s="193">
        <v>43647</v>
      </c>
      <c r="N772" s="193"/>
      <c r="O772" s="193">
        <v>44044</v>
      </c>
      <c r="P772" s="5">
        <v>60</v>
      </c>
      <c r="Q772" s="7" t="s">
        <v>3629</v>
      </c>
      <c r="R772" s="18">
        <v>377750</v>
      </c>
      <c r="S772" s="5" t="s">
        <v>66</v>
      </c>
      <c r="T772" s="26" t="s">
        <v>36</v>
      </c>
      <c r="U772" s="4"/>
      <c r="V772" s="4"/>
      <c r="W772" s="5" t="s">
        <v>3630</v>
      </c>
      <c r="X772" s="5" t="s">
        <v>1088</v>
      </c>
      <c r="Y772" s="5" t="s">
        <v>457</v>
      </c>
      <c r="Z772" s="5"/>
      <c r="AA772" s="5"/>
      <c r="AB772" s="193">
        <v>43714</v>
      </c>
      <c r="AC772" s="8" t="s">
        <v>3631</v>
      </c>
      <c r="AD772" s="1"/>
      <c r="AE772" s="158">
        <v>410000</v>
      </c>
      <c r="AF772" s="1"/>
    </row>
    <row r="773" spans="1:32" s="1" customFormat="1" ht="28.8">
      <c r="A773" s="888"/>
      <c r="B773" s="420" t="s">
        <v>145</v>
      </c>
      <c r="C773" s="194" t="s">
        <v>3632</v>
      </c>
      <c r="D773" s="112" t="s">
        <v>82</v>
      </c>
      <c r="E773" s="112"/>
      <c r="F773" s="112"/>
      <c r="G773" s="112"/>
      <c r="H773" s="8" t="s">
        <v>316</v>
      </c>
      <c r="I773" s="8" t="s">
        <v>34</v>
      </c>
      <c r="J773" s="1030" t="s">
        <v>929</v>
      </c>
      <c r="K773" s="388"/>
      <c r="L773" s="388"/>
      <c r="M773" s="328">
        <v>43831</v>
      </c>
      <c r="N773" s="388"/>
      <c r="O773" s="328">
        <v>44044</v>
      </c>
      <c r="P773" s="330">
        <v>24</v>
      </c>
      <c r="Q773" s="343" t="s">
        <v>366</v>
      </c>
      <c r="R773" s="153">
        <v>30000</v>
      </c>
      <c r="S773" s="347" t="s">
        <v>163</v>
      </c>
      <c r="T773" s="350" t="s">
        <v>54</v>
      </c>
      <c r="U773" s="326" t="s">
        <v>43</v>
      </c>
      <c r="V773" s="326"/>
      <c r="W773" s="8" t="s">
        <v>3633</v>
      </c>
      <c r="X773" s="8" t="s">
        <v>150</v>
      </c>
      <c r="Y773" s="8" t="s">
        <v>179</v>
      </c>
      <c r="Z773" s="8"/>
      <c r="AA773" s="327"/>
      <c r="AB773" s="389" t="s">
        <v>3621</v>
      </c>
      <c r="AC773" s="171"/>
      <c r="AD773" s="390"/>
      <c r="AE773" s="443"/>
    </row>
    <row r="774" spans="1:32" s="1" customFormat="1" ht="52.8">
      <c r="A774" s="852"/>
      <c r="B774" s="713" t="s">
        <v>48</v>
      </c>
      <c r="C774" s="465" t="s">
        <v>2085</v>
      </c>
      <c r="D774" s="554" t="s">
        <v>60</v>
      </c>
      <c r="E774" s="554"/>
      <c r="F774" s="554"/>
      <c r="G774" s="554"/>
      <c r="H774" s="466" t="s">
        <v>127</v>
      </c>
      <c r="I774" s="474" t="s">
        <v>34</v>
      </c>
      <c r="J774" s="1024" t="s">
        <v>2086</v>
      </c>
      <c r="K774" s="467"/>
      <c r="L774" s="470">
        <v>44013</v>
      </c>
      <c r="M774" s="470"/>
      <c r="N774" s="470"/>
      <c r="O774" s="470">
        <v>44044</v>
      </c>
      <c r="P774" s="485" t="s">
        <v>125</v>
      </c>
      <c r="Q774" s="770" t="s">
        <v>125</v>
      </c>
      <c r="R774" s="542">
        <v>30000</v>
      </c>
      <c r="S774" s="792" t="s">
        <v>163</v>
      </c>
      <c r="T774" s="803" t="s">
        <v>36</v>
      </c>
      <c r="U774" s="470" t="s">
        <v>125</v>
      </c>
      <c r="V774" s="470"/>
      <c r="W774" s="474" t="s">
        <v>1489</v>
      </c>
      <c r="X774" s="114"/>
      <c r="Y774" s="114"/>
      <c r="Z774" s="114"/>
      <c r="AA774" s="180"/>
      <c r="AB774" s="180"/>
      <c r="AC774" s="114"/>
      <c r="AD774"/>
      <c r="AE774" s="180"/>
    </row>
    <row r="775" spans="1:32" s="1" customFormat="1" ht="52.8">
      <c r="A775" s="852"/>
      <c r="B775" s="713" t="s">
        <v>48</v>
      </c>
      <c r="C775" s="465" t="s">
        <v>2149</v>
      </c>
      <c r="D775" s="554" t="s">
        <v>60</v>
      </c>
      <c r="E775" s="554"/>
      <c r="F775" s="554"/>
      <c r="G775" s="554"/>
      <c r="H775" s="466" t="s">
        <v>127</v>
      </c>
      <c r="I775" s="474" t="s">
        <v>34</v>
      </c>
      <c r="J775" s="1024" t="s">
        <v>2150</v>
      </c>
      <c r="K775" s="467"/>
      <c r="L775" s="470">
        <v>44018</v>
      </c>
      <c r="M775" s="470"/>
      <c r="N775" s="470"/>
      <c r="O775" s="470">
        <v>44044</v>
      </c>
      <c r="P775" s="474">
        <v>1</v>
      </c>
      <c r="Q775" s="738">
        <v>1</v>
      </c>
      <c r="R775" s="483">
        <v>50000</v>
      </c>
      <c r="S775" s="792" t="s">
        <v>163</v>
      </c>
      <c r="T775" s="803" t="s">
        <v>36</v>
      </c>
      <c r="U775" s="470" t="s">
        <v>125</v>
      </c>
      <c r="V775" s="470"/>
      <c r="W775" s="474" t="s">
        <v>226</v>
      </c>
      <c r="X775" s="114"/>
      <c r="Y775" s="114"/>
      <c r="Z775" s="114"/>
      <c r="AA775" s="114"/>
      <c r="AB775" s="114"/>
      <c r="AC775" s="114"/>
      <c r="AD775"/>
      <c r="AE775" s="180"/>
    </row>
    <row r="776" spans="1:32" s="1" customFormat="1" ht="57.6" customHeight="1">
      <c r="A776" s="1061">
        <v>44974</v>
      </c>
      <c r="B776" s="1020" t="s">
        <v>210</v>
      </c>
      <c r="C776" s="1072" t="s">
        <v>3634</v>
      </c>
      <c r="D776" s="1021" t="s">
        <v>1150</v>
      </c>
      <c r="E776" s="1020" t="s">
        <v>210</v>
      </c>
      <c r="F776" s="1020" t="s">
        <v>190</v>
      </c>
      <c r="G776" s="1020" t="s">
        <v>190</v>
      </c>
      <c r="H776" s="1066" t="s">
        <v>190</v>
      </c>
      <c r="I776" s="1066" t="s">
        <v>190</v>
      </c>
      <c r="J776" s="1095" t="s">
        <v>3635</v>
      </c>
      <c r="K776" s="1072" t="s">
        <v>3636</v>
      </c>
      <c r="L776" s="1066" t="s">
        <v>190</v>
      </c>
      <c r="M776" s="1066" t="s">
        <v>190</v>
      </c>
      <c r="N776" s="1066" t="s">
        <v>190</v>
      </c>
      <c r="O776" s="1142">
        <v>44044</v>
      </c>
      <c r="P776" s="1142">
        <v>44408</v>
      </c>
      <c r="Q776" s="1142">
        <v>44773</v>
      </c>
      <c r="R776" s="1176">
        <v>2400</v>
      </c>
      <c r="S776" s="1072" t="s">
        <v>158</v>
      </c>
      <c r="T776" s="1204" t="s">
        <v>190</v>
      </c>
      <c r="U776" s="1066" t="s">
        <v>190</v>
      </c>
      <c r="V776" s="1066"/>
      <c r="W776" s="1072" t="s">
        <v>3637</v>
      </c>
      <c r="X776" s="1072" t="s">
        <v>1346</v>
      </c>
      <c r="Y776" s="1072" t="s">
        <v>1266</v>
      </c>
      <c r="Z776" s="1066" t="s">
        <v>190</v>
      </c>
      <c r="AA776" s="1066" t="s">
        <v>190</v>
      </c>
      <c r="AB776" s="1066" t="s">
        <v>190</v>
      </c>
      <c r="AC776" s="1095" t="s">
        <v>3638</v>
      </c>
      <c r="AD776" s="1068" t="s">
        <v>190</v>
      </c>
      <c r="AE776" s="1254">
        <v>2400</v>
      </c>
      <c r="AF776"/>
    </row>
    <row r="777" spans="1:32" s="1" customFormat="1" ht="15.6">
      <c r="A777" s="1061">
        <v>44974</v>
      </c>
      <c r="B777" s="1020" t="s">
        <v>210</v>
      </c>
      <c r="C777" s="1072" t="s">
        <v>3634</v>
      </c>
      <c r="D777" s="1021" t="s">
        <v>1150</v>
      </c>
      <c r="E777" s="1020" t="s">
        <v>210</v>
      </c>
      <c r="F777" s="1020" t="s">
        <v>190</v>
      </c>
      <c r="G777" s="1020" t="s">
        <v>190</v>
      </c>
      <c r="H777" s="1066" t="s">
        <v>190</v>
      </c>
      <c r="I777" s="1066" t="s">
        <v>190</v>
      </c>
      <c r="J777" s="1095" t="s">
        <v>3635</v>
      </c>
      <c r="K777" s="1072" t="s">
        <v>3636</v>
      </c>
      <c r="L777" s="1066" t="s">
        <v>190</v>
      </c>
      <c r="M777" s="1066" t="s">
        <v>190</v>
      </c>
      <c r="N777" s="1066" t="s">
        <v>190</v>
      </c>
      <c r="O777" s="1142">
        <v>44044</v>
      </c>
      <c r="P777" s="1142">
        <v>44773</v>
      </c>
      <c r="Q777" s="1142">
        <v>44773</v>
      </c>
      <c r="R777" s="1176">
        <v>2400</v>
      </c>
      <c r="S777" s="1072" t="s">
        <v>158</v>
      </c>
      <c r="T777" s="1204" t="s">
        <v>190</v>
      </c>
      <c r="U777" s="1066" t="s">
        <v>190</v>
      </c>
      <c r="V777" s="1066"/>
      <c r="W777" s="1072" t="s">
        <v>2542</v>
      </c>
      <c r="X777" s="1072" t="s">
        <v>1346</v>
      </c>
      <c r="Y777" s="1072" t="s">
        <v>1266</v>
      </c>
      <c r="Z777" s="1066" t="s">
        <v>190</v>
      </c>
      <c r="AA777" s="1066" t="s">
        <v>190</v>
      </c>
      <c r="AB777" s="1066" t="s">
        <v>190</v>
      </c>
      <c r="AC777" s="1095" t="s">
        <v>3639</v>
      </c>
      <c r="AD777" s="1068" t="s">
        <v>190</v>
      </c>
      <c r="AE777" s="1254">
        <v>2400</v>
      </c>
      <c r="AF777"/>
    </row>
    <row r="778" spans="1:32" s="1" customFormat="1" ht="43.35" customHeight="1">
      <c r="A778" s="852"/>
      <c r="B778" s="713" t="s">
        <v>48</v>
      </c>
      <c r="C778" s="465" t="s">
        <v>2069</v>
      </c>
      <c r="D778" s="554" t="s">
        <v>60</v>
      </c>
      <c r="E778" s="554"/>
      <c r="F778" s="554"/>
      <c r="G778" s="554"/>
      <c r="H778" s="466" t="s">
        <v>127</v>
      </c>
      <c r="I778" s="474" t="s">
        <v>34</v>
      </c>
      <c r="J778" s="549" t="s">
        <v>2070</v>
      </c>
      <c r="K778" s="484"/>
      <c r="L778" s="470">
        <v>44013</v>
      </c>
      <c r="M778" s="470"/>
      <c r="N778" s="470"/>
      <c r="O778" s="470">
        <v>44046</v>
      </c>
      <c r="P778" s="491">
        <v>1</v>
      </c>
      <c r="Q778" s="491">
        <v>1</v>
      </c>
      <c r="R778" s="550">
        <v>20000</v>
      </c>
      <c r="S778" s="796" t="s">
        <v>1163</v>
      </c>
      <c r="T778" s="765" t="s">
        <v>144</v>
      </c>
      <c r="U778" s="469">
        <v>43700</v>
      </c>
      <c r="V778" s="469"/>
      <c r="W778" s="474" t="s">
        <v>2071</v>
      </c>
      <c r="X778" s="114"/>
      <c r="Y778" s="114"/>
      <c r="Z778" s="114"/>
      <c r="AA778" s="114"/>
      <c r="AB778" s="114"/>
      <c r="AC778" s="114"/>
      <c r="AD778"/>
      <c r="AE778" s="180"/>
    </row>
    <row r="779" spans="1:32" s="1" customFormat="1" ht="66">
      <c r="A779" s="852"/>
      <c r="B779" s="713" t="s">
        <v>48</v>
      </c>
      <c r="C779" s="466" t="s">
        <v>2135</v>
      </c>
      <c r="D779" s="554" t="s">
        <v>60</v>
      </c>
      <c r="E779" s="554"/>
      <c r="F779" s="554"/>
      <c r="G779" s="554"/>
      <c r="H779" s="466" t="s">
        <v>127</v>
      </c>
      <c r="I779" s="474" t="s">
        <v>34</v>
      </c>
      <c r="J779" s="1024" t="s">
        <v>2136</v>
      </c>
      <c r="K779" s="467"/>
      <c r="L779" s="470">
        <v>43983</v>
      </c>
      <c r="M779" s="470"/>
      <c r="N779" s="470"/>
      <c r="O779" s="470">
        <v>44046</v>
      </c>
      <c r="P779" s="471" t="s">
        <v>125</v>
      </c>
      <c r="Q779" s="574">
        <v>5700000</v>
      </c>
      <c r="R779" s="483" t="s">
        <v>125</v>
      </c>
      <c r="S779" s="470" t="s">
        <v>109</v>
      </c>
      <c r="T779" s="803" t="s">
        <v>41</v>
      </c>
      <c r="U779" s="466" t="s">
        <v>125</v>
      </c>
      <c r="V779" s="466"/>
      <c r="W779" s="486" t="s">
        <v>2137</v>
      </c>
      <c r="X779" s="114"/>
      <c r="Y779" s="114"/>
      <c r="Z779" s="114"/>
      <c r="AA779" s="114"/>
      <c r="AB779" s="114"/>
      <c r="AC779" s="114"/>
      <c r="AD779"/>
      <c r="AE779" s="180"/>
    </row>
    <row r="780" spans="1:32" s="1" customFormat="1" ht="115.2">
      <c r="A780" s="888"/>
      <c r="B780" s="141" t="s">
        <v>28</v>
      </c>
      <c r="C780" s="4" t="s">
        <v>1085</v>
      </c>
      <c r="D780" s="30" t="s">
        <v>60</v>
      </c>
      <c r="E780" s="30"/>
      <c r="F780" s="30"/>
      <c r="G780" s="30"/>
      <c r="H780" s="1335" t="s">
        <v>349</v>
      </c>
      <c r="I780" s="1330" t="s">
        <v>64</v>
      </c>
      <c r="J780" s="16" t="s">
        <v>3265</v>
      </c>
      <c r="K780" s="16"/>
      <c r="L780" s="16"/>
      <c r="M780" s="1329">
        <v>43831</v>
      </c>
      <c r="N780" s="1329"/>
      <c r="O780" s="1329">
        <v>44055</v>
      </c>
      <c r="P780" s="1330">
        <v>36</v>
      </c>
      <c r="Q780" s="1335" t="s">
        <v>3640</v>
      </c>
      <c r="R780" s="18">
        <v>45400</v>
      </c>
      <c r="S780" s="1335" t="s">
        <v>66</v>
      </c>
      <c r="T780" s="1332" t="s">
        <v>54</v>
      </c>
      <c r="U780" s="46" t="s">
        <v>37</v>
      </c>
      <c r="V780" s="46"/>
      <c r="W780" s="1335" t="s">
        <v>1087</v>
      </c>
      <c r="X780" s="43" t="s">
        <v>1088</v>
      </c>
      <c r="Y780" s="5" t="s">
        <v>457</v>
      </c>
      <c r="Z780" s="5"/>
      <c r="AA780" s="5"/>
      <c r="AB780" s="193">
        <v>43942</v>
      </c>
      <c r="AC780" s="1327" t="s">
        <v>3641</v>
      </c>
      <c r="AD780" s="70" t="s">
        <v>35</v>
      </c>
      <c r="AE780" s="1442" t="s">
        <v>35</v>
      </c>
    </row>
    <row r="781" spans="1:32" s="1" customFormat="1" ht="52.8">
      <c r="A781" s="852"/>
      <c r="B781" s="713" t="s">
        <v>48</v>
      </c>
      <c r="C781" s="465" t="s">
        <v>2087</v>
      </c>
      <c r="D781" s="554" t="s">
        <v>60</v>
      </c>
      <c r="E781" s="554"/>
      <c r="F781" s="554"/>
      <c r="G781" s="554"/>
      <c r="H781" s="466" t="s">
        <v>127</v>
      </c>
      <c r="I781" s="474" t="s">
        <v>34</v>
      </c>
      <c r="J781" s="1024" t="s">
        <v>2088</v>
      </c>
      <c r="K781" s="467"/>
      <c r="L781" s="485">
        <v>44044</v>
      </c>
      <c r="M781" s="485"/>
      <c r="N781" s="485"/>
      <c r="O781" s="485">
        <v>44060</v>
      </c>
      <c r="P781" s="471" t="s">
        <v>1336</v>
      </c>
      <c r="Q781" s="471" t="s">
        <v>125</v>
      </c>
      <c r="R781" s="542">
        <v>40000</v>
      </c>
      <c r="S781" s="791" t="s">
        <v>125</v>
      </c>
      <c r="T781" s="803" t="s">
        <v>465</v>
      </c>
      <c r="U781" s="470"/>
      <c r="V781" s="470"/>
      <c r="W781" s="488" t="s">
        <v>2089</v>
      </c>
      <c r="X781" s="114"/>
      <c r="Y781" s="114"/>
      <c r="Z781" s="114"/>
      <c r="AA781" s="114"/>
      <c r="AB781" s="114"/>
      <c r="AC781" s="114"/>
      <c r="AD781"/>
      <c r="AE781" s="180"/>
    </row>
    <row r="782" spans="1:32" s="1" customFormat="1" ht="57.6" customHeight="1">
      <c r="A782" s="852"/>
      <c r="B782" s="713" t="s">
        <v>48</v>
      </c>
      <c r="C782" s="466" t="s">
        <v>2131</v>
      </c>
      <c r="D782" s="554" t="s">
        <v>60</v>
      </c>
      <c r="E782" s="554"/>
      <c r="F782" s="554"/>
      <c r="G782" s="554"/>
      <c r="H782" s="466" t="s">
        <v>127</v>
      </c>
      <c r="I782" s="474" t="s">
        <v>34</v>
      </c>
      <c r="J782" s="549" t="s">
        <v>2132</v>
      </c>
      <c r="K782" s="484"/>
      <c r="L782" s="470">
        <v>44004</v>
      </c>
      <c r="M782" s="470"/>
      <c r="N782" s="470"/>
      <c r="O782" s="470">
        <v>44060</v>
      </c>
      <c r="P782" s="471">
        <v>2</v>
      </c>
      <c r="Q782" s="761">
        <v>2</v>
      </c>
      <c r="R782" s="483">
        <v>672239</v>
      </c>
      <c r="S782" s="792" t="s">
        <v>158</v>
      </c>
      <c r="T782" s="803" t="s">
        <v>898</v>
      </c>
      <c r="U782" s="466" t="s">
        <v>125</v>
      </c>
      <c r="V782" s="466"/>
      <c r="W782" s="486" t="s">
        <v>834</v>
      </c>
      <c r="X782" s="114"/>
      <c r="Y782" s="114"/>
      <c r="Z782" s="114"/>
      <c r="AA782" s="114"/>
      <c r="AB782" s="114"/>
      <c r="AC782" s="114"/>
      <c r="AD782"/>
      <c r="AE782" s="180"/>
    </row>
    <row r="783" spans="1:32" s="3" customFormat="1" ht="52.8">
      <c r="A783" s="852"/>
      <c r="B783" s="713" t="s">
        <v>48</v>
      </c>
      <c r="C783" s="465" t="s">
        <v>125</v>
      </c>
      <c r="D783" s="554" t="s">
        <v>60</v>
      </c>
      <c r="E783" s="554"/>
      <c r="F783" s="554"/>
      <c r="G783" s="554"/>
      <c r="H783" s="466" t="s">
        <v>127</v>
      </c>
      <c r="I783" s="474" t="s">
        <v>34</v>
      </c>
      <c r="J783" s="549" t="s">
        <v>2312</v>
      </c>
      <c r="K783" s="484"/>
      <c r="L783" s="466">
        <v>14</v>
      </c>
      <c r="M783" s="469">
        <f>IF(O783="tbc","",(IFERROR(EDATE($N783,-3),"Invalid procurement method or date entered")))</f>
        <v>43544</v>
      </c>
      <c r="N783" s="469">
        <f>IF(O783="tbc","",(IFERROR(EDATE(O783,-L783),"Invalid procurement method or date entered")))</f>
        <v>43636</v>
      </c>
      <c r="O783" s="469">
        <v>44063</v>
      </c>
      <c r="P783" s="491" t="s">
        <v>125</v>
      </c>
      <c r="Q783" s="491" t="s">
        <v>125</v>
      </c>
      <c r="R783" s="493">
        <v>80000</v>
      </c>
      <c r="S783" s="491" t="s">
        <v>125</v>
      </c>
      <c r="T783" s="765" t="s">
        <v>36</v>
      </c>
      <c r="U783" s="469" t="s">
        <v>125</v>
      </c>
      <c r="V783" s="469"/>
      <c r="W783" s="513" t="s">
        <v>1304</v>
      </c>
      <c r="X783" s="114"/>
      <c r="Y783" s="114"/>
      <c r="Z783" s="114"/>
      <c r="AA783" s="180"/>
      <c r="AB783" s="180"/>
      <c r="AC783" s="114"/>
      <c r="AD783"/>
      <c r="AE783" s="180"/>
      <c r="AF783" s="1"/>
    </row>
    <row r="784" spans="1:32" s="1" customFormat="1" ht="57.6">
      <c r="A784" s="852"/>
      <c r="B784" s="57"/>
      <c r="C784" s="4" t="s">
        <v>3642</v>
      </c>
      <c r="D784" s="31" t="s">
        <v>29</v>
      </c>
      <c r="E784" s="31"/>
      <c r="F784" s="31"/>
      <c r="G784" s="31"/>
      <c r="H784" s="5" t="s">
        <v>70</v>
      </c>
      <c r="I784" s="5" t="s">
        <v>34</v>
      </c>
      <c r="J784" s="16" t="s">
        <v>3643</v>
      </c>
      <c r="K784" s="16"/>
      <c r="L784" s="16"/>
      <c r="M784" s="193">
        <v>43739</v>
      </c>
      <c r="N784" s="193"/>
      <c r="O784" s="176">
        <v>44067</v>
      </c>
      <c r="P784" s="5">
        <v>24</v>
      </c>
      <c r="Q784" s="26">
        <v>24</v>
      </c>
      <c r="R784" s="39">
        <v>45612</v>
      </c>
      <c r="S784" s="30" t="s">
        <v>109</v>
      </c>
      <c r="T784" s="26" t="s">
        <v>54</v>
      </c>
      <c r="U784" s="11" t="s">
        <v>37</v>
      </c>
      <c r="V784" s="11"/>
      <c r="W784" s="5" t="s">
        <v>1290</v>
      </c>
      <c r="X784" s="5" t="s">
        <v>1091</v>
      </c>
      <c r="Y784" s="5" t="s">
        <v>457</v>
      </c>
      <c r="Z784" s="5"/>
      <c r="AA784" s="5"/>
      <c r="AB784" s="193" t="s">
        <v>1082</v>
      </c>
      <c r="AC784" s="8" t="s">
        <v>3644</v>
      </c>
      <c r="AD784" s="70" t="s">
        <v>3512</v>
      </c>
      <c r="AE784" s="158">
        <v>22806</v>
      </c>
    </row>
    <row r="785" spans="1:32" ht="29.1" customHeight="1">
      <c r="A785" s="852"/>
      <c r="B785" s="713" t="s">
        <v>48</v>
      </c>
      <c r="C785" s="466" t="s">
        <v>125</v>
      </c>
      <c r="D785" s="466" t="s">
        <v>60</v>
      </c>
      <c r="E785" s="466"/>
      <c r="F785" s="466"/>
      <c r="G785" s="466"/>
      <c r="H785" s="466" t="s">
        <v>127</v>
      </c>
      <c r="I785" s="474" t="s">
        <v>34</v>
      </c>
      <c r="J785" s="549" t="s">
        <v>2074</v>
      </c>
      <c r="K785" s="484"/>
      <c r="L785" s="470">
        <v>44011</v>
      </c>
      <c r="M785" s="470"/>
      <c r="N785" s="470"/>
      <c r="O785" s="470">
        <v>44074</v>
      </c>
      <c r="P785" s="471">
        <v>1</v>
      </c>
      <c r="Q785" s="471">
        <v>1</v>
      </c>
      <c r="R785" s="542">
        <v>166702.55526912</v>
      </c>
      <c r="S785" s="470" t="s">
        <v>158</v>
      </c>
      <c r="T785" s="803" t="s">
        <v>36</v>
      </c>
      <c r="U785" s="466" t="s">
        <v>125</v>
      </c>
      <c r="V785" s="466"/>
      <c r="W785" s="486" t="s">
        <v>2075</v>
      </c>
      <c r="X785" s="114"/>
      <c r="Y785" s="114"/>
      <c r="Z785" s="114"/>
      <c r="AA785" s="114"/>
      <c r="AB785" s="114"/>
      <c r="AC785" s="114"/>
      <c r="AE785" s="180"/>
      <c r="AF785" s="1"/>
    </row>
    <row r="786" spans="1:32" ht="29.1" customHeight="1">
      <c r="A786" s="852"/>
      <c r="B786" s="713" t="s">
        <v>48</v>
      </c>
      <c r="C786" s="466" t="s">
        <v>125</v>
      </c>
      <c r="D786" s="466" t="s">
        <v>60</v>
      </c>
      <c r="E786" s="466"/>
      <c r="F786" s="466"/>
      <c r="G786" s="466"/>
      <c r="H786" s="466" t="s">
        <v>127</v>
      </c>
      <c r="I786" s="474" t="s">
        <v>34</v>
      </c>
      <c r="J786" s="549" t="s">
        <v>2076</v>
      </c>
      <c r="K786" s="484"/>
      <c r="L786" s="470">
        <v>44011</v>
      </c>
      <c r="M786" s="470"/>
      <c r="N786" s="470"/>
      <c r="O786" s="470">
        <v>44074</v>
      </c>
      <c r="P786" s="471">
        <v>1</v>
      </c>
      <c r="Q786" s="471">
        <v>1</v>
      </c>
      <c r="R786" s="542">
        <v>358072.25359360001</v>
      </c>
      <c r="S786" s="470" t="s">
        <v>158</v>
      </c>
      <c r="T786" s="803" t="s">
        <v>36</v>
      </c>
      <c r="U786" s="466" t="s">
        <v>125</v>
      </c>
      <c r="V786" s="466"/>
      <c r="W786" s="486" t="s">
        <v>2075</v>
      </c>
      <c r="X786" s="114"/>
      <c r="Y786" s="114"/>
      <c r="Z786" s="114"/>
      <c r="AA786" s="114"/>
      <c r="AB786" s="114"/>
      <c r="AC786" s="114"/>
      <c r="AE786" s="180"/>
      <c r="AF786" s="1"/>
    </row>
    <row r="787" spans="1:32" s="1" customFormat="1" ht="29.1" customHeight="1">
      <c r="A787" s="852"/>
      <c r="B787" s="713" t="s">
        <v>48</v>
      </c>
      <c r="C787" s="466" t="s">
        <v>125</v>
      </c>
      <c r="D787" s="554" t="s">
        <v>60</v>
      </c>
      <c r="E787" s="554"/>
      <c r="F787" s="554"/>
      <c r="G787" s="554"/>
      <c r="H787" s="466" t="s">
        <v>127</v>
      </c>
      <c r="I787" s="474" t="s">
        <v>34</v>
      </c>
      <c r="J787" s="549" t="s">
        <v>2077</v>
      </c>
      <c r="K787" s="484"/>
      <c r="L787" s="470">
        <v>44011</v>
      </c>
      <c r="M787" s="470"/>
      <c r="N787" s="470"/>
      <c r="O787" s="470">
        <v>44074</v>
      </c>
      <c r="P787" s="471">
        <v>1</v>
      </c>
      <c r="Q787" s="471">
        <v>1</v>
      </c>
      <c r="R787" s="542">
        <v>132691.51999999999</v>
      </c>
      <c r="S787" s="470" t="s">
        <v>158</v>
      </c>
      <c r="T787" s="803" t="s">
        <v>36</v>
      </c>
      <c r="U787" s="466" t="s">
        <v>125</v>
      </c>
      <c r="V787" s="466"/>
      <c r="W787" s="486" t="s">
        <v>2075</v>
      </c>
      <c r="X787" s="114"/>
      <c r="Y787" s="114"/>
      <c r="Z787" s="114"/>
      <c r="AA787" s="114"/>
      <c r="AB787" s="114"/>
      <c r="AC787" s="114"/>
      <c r="AD787"/>
      <c r="AE787" s="180"/>
    </row>
    <row r="788" spans="1:32" s="1" customFormat="1" ht="29.1" customHeight="1">
      <c r="A788" s="852"/>
      <c r="B788" s="713" t="s">
        <v>48</v>
      </c>
      <c r="C788" s="466" t="s">
        <v>2083</v>
      </c>
      <c r="D788" s="554" t="s">
        <v>60</v>
      </c>
      <c r="E788" s="554"/>
      <c r="F788" s="554"/>
      <c r="G788" s="554"/>
      <c r="H788" s="466" t="s">
        <v>127</v>
      </c>
      <c r="I788" s="474" t="s">
        <v>34</v>
      </c>
      <c r="J788" s="549" t="s">
        <v>2084</v>
      </c>
      <c r="K788" s="484"/>
      <c r="L788" s="470">
        <v>44027</v>
      </c>
      <c r="M788" s="470"/>
      <c r="N788" s="470"/>
      <c r="O788" s="470">
        <v>44074</v>
      </c>
      <c r="P788" s="474">
        <v>2</v>
      </c>
      <c r="Q788" s="474">
        <v>2</v>
      </c>
      <c r="R788" s="542">
        <v>300000</v>
      </c>
      <c r="S788" s="470" t="s">
        <v>163</v>
      </c>
      <c r="T788" s="803" t="s">
        <v>36</v>
      </c>
      <c r="U788" s="466" t="s">
        <v>125</v>
      </c>
      <c r="V788" s="466"/>
      <c r="W788" s="486" t="s">
        <v>1772</v>
      </c>
      <c r="X788" s="114"/>
      <c r="Y788" s="114"/>
      <c r="Z788" s="114"/>
      <c r="AA788" s="114"/>
      <c r="AB788" s="114"/>
      <c r="AC788" s="114"/>
      <c r="AD788"/>
      <c r="AE788" s="180"/>
    </row>
    <row r="789" spans="1:32" s="1" customFormat="1" ht="29.1" customHeight="1">
      <c r="A789" s="852"/>
      <c r="B789" s="713" t="s">
        <v>48</v>
      </c>
      <c r="C789" s="466" t="s">
        <v>2108</v>
      </c>
      <c r="D789" s="554" t="s">
        <v>60</v>
      </c>
      <c r="E789" s="554"/>
      <c r="F789" s="554"/>
      <c r="G789" s="554"/>
      <c r="H789" s="466" t="s">
        <v>127</v>
      </c>
      <c r="I789" s="474" t="s">
        <v>34</v>
      </c>
      <c r="J789" s="549" t="s">
        <v>2109</v>
      </c>
      <c r="K789" s="484"/>
      <c r="L789" s="470">
        <v>44011</v>
      </c>
      <c r="M789" s="470"/>
      <c r="N789" s="470"/>
      <c r="O789" s="470">
        <v>44074</v>
      </c>
      <c r="P789" s="471">
        <v>1</v>
      </c>
      <c r="Q789" s="761">
        <v>1</v>
      </c>
      <c r="R789" s="542">
        <f>175327.3746432+166702.55526912+358072.2535936+132691.52</f>
        <v>832793.70350592001</v>
      </c>
      <c r="S789" s="792" t="s">
        <v>158</v>
      </c>
      <c r="T789" s="803" t="s">
        <v>36</v>
      </c>
      <c r="U789" s="466" t="s">
        <v>125</v>
      </c>
      <c r="V789" s="466"/>
      <c r="W789" s="486" t="s">
        <v>2075</v>
      </c>
      <c r="X789" s="114"/>
      <c r="Y789" s="114"/>
      <c r="Z789" s="114"/>
      <c r="AA789" s="114"/>
      <c r="AB789" s="114"/>
      <c r="AC789" s="114"/>
      <c r="AD789"/>
      <c r="AE789" s="180"/>
    </row>
    <row r="790" spans="1:32" s="1" customFormat="1" ht="66">
      <c r="A790" s="852"/>
      <c r="B790" s="713" t="s">
        <v>48</v>
      </c>
      <c r="C790" s="466" t="s">
        <v>125</v>
      </c>
      <c r="D790" s="554" t="s">
        <v>60</v>
      </c>
      <c r="E790" s="554"/>
      <c r="F790" s="554"/>
      <c r="G790" s="554"/>
      <c r="H790" s="466" t="s">
        <v>127</v>
      </c>
      <c r="I790" s="474" t="s">
        <v>34</v>
      </c>
      <c r="J790" s="549" t="s">
        <v>2155</v>
      </c>
      <c r="K790" s="484"/>
      <c r="L790" s="484"/>
      <c r="M790" s="466">
        <v>3</v>
      </c>
      <c r="N790" s="469" t="str">
        <f>IFERROR(EDATE(#REF!,-3),"Invalid procurement method or date entered")</f>
        <v>Invalid procurement method or date entered</v>
      </c>
      <c r="O790" s="470">
        <v>44074</v>
      </c>
      <c r="P790" s="485" t="s">
        <v>125</v>
      </c>
      <c r="Q790" s="485" t="s">
        <v>125</v>
      </c>
      <c r="R790" s="483">
        <v>866897.33863199991</v>
      </c>
      <c r="S790" s="470" t="s">
        <v>129</v>
      </c>
      <c r="T790" s="803" t="s">
        <v>36</v>
      </c>
      <c r="U790" s="466" t="s">
        <v>125</v>
      </c>
      <c r="V790" s="466"/>
      <c r="W790" s="486" t="s">
        <v>2156</v>
      </c>
      <c r="X790" s="114"/>
      <c r="Y790" s="114"/>
      <c r="Z790" s="114"/>
      <c r="AA790" s="114"/>
      <c r="AB790" s="114"/>
      <c r="AC790" s="114"/>
      <c r="AD790"/>
      <c r="AE790" s="180"/>
    </row>
    <row r="791" spans="1:32" s="1" customFormat="1" ht="43.35" customHeight="1">
      <c r="A791" s="852"/>
      <c r="B791" s="713" t="s">
        <v>48</v>
      </c>
      <c r="C791" s="554" t="s">
        <v>125</v>
      </c>
      <c r="D791" s="554" t="s">
        <v>60</v>
      </c>
      <c r="E791" s="554"/>
      <c r="F791" s="554"/>
      <c r="G791" s="554"/>
      <c r="H791" s="466" t="s">
        <v>127</v>
      </c>
      <c r="I791" s="474" t="s">
        <v>34</v>
      </c>
      <c r="J791" s="549" t="s">
        <v>2157</v>
      </c>
      <c r="K791" s="484"/>
      <c r="L791" s="484"/>
      <c r="M791" s="466">
        <v>3</v>
      </c>
      <c r="N791" s="469" t="str">
        <f>IFERROR(EDATE(#REF!,-3),"Invalid procurement method or date entered")</f>
        <v>Invalid procurement method or date entered</v>
      </c>
      <c r="O791" s="470">
        <v>44074</v>
      </c>
      <c r="P791" s="485" t="s">
        <v>125</v>
      </c>
      <c r="Q791" s="770" t="s">
        <v>125</v>
      </c>
      <c r="R791" s="483">
        <v>228692.91827200004</v>
      </c>
      <c r="S791" s="792" t="s">
        <v>129</v>
      </c>
      <c r="T791" s="803" t="s">
        <v>36</v>
      </c>
      <c r="U791" s="466" t="s">
        <v>125</v>
      </c>
      <c r="V791" s="466"/>
      <c r="W791" s="486" t="s">
        <v>2156</v>
      </c>
      <c r="X791" s="114"/>
      <c r="Y791" s="114"/>
      <c r="Z791" s="114"/>
      <c r="AA791" s="114"/>
      <c r="AB791" s="114"/>
      <c r="AC791" s="114"/>
      <c r="AD791"/>
      <c r="AE791" s="180"/>
    </row>
    <row r="792" spans="1:32" s="1" customFormat="1" ht="66">
      <c r="A792" s="852"/>
      <c r="B792" s="713" t="s">
        <v>48</v>
      </c>
      <c r="C792" s="466" t="s">
        <v>125</v>
      </c>
      <c r="D792" s="554" t="s">
        <v>60</v>
      </c>
      <c r="E792" s="554"/>
      <c r="F792" s="554"/>
      <c r="G792" s="554"/>
      <c r="H792" s="466" t="s">
        <v>127</v>
      </c>
      <c r="I792" s="474" t="s">
        <v>34</v>
      </c>
      <c r="J792" s="549" t="s">
        <v>2158</v>
      </c>
      <c r="K792" s="484"/>
      <c r="L792" s="484"/>
      <c r="M792" s="466">
        <v>3</v>
      </c>
      <c r="N792" s="469" t="str">
        <f>IFERROR(EDATE(#REF!,-3),"Invalid procurement method or date entered")</f>
        <v>Invalid procurement method or date entered</v>
      </c>
      <c r="O792" s="470">
        <v>44074</v>
      </c>
      <c r="P792" s="485" t="s">
        <v>125</v>
      </c>
      <c r="Q792" s="485" t="s">
        <v>125</v>
      </c>
      <c r="R792" s="483">
        <v>382766.43335008004</v>
      </c>
      <c r="S792" s="470" t="s">
        <v>129</v>
      </c>
      <c r="T792" s="803" t="s">
        <v>36</v>
      </c>
      <c r="U792" s="466" t="s">
        <v>125</v>
      </c>
      <c r="V792" s="466"/>
      <c r="W792" s="486" t="s">
        <v>2156</v>
      </c>
      <c r="X792" s="114"/>
      <c r="Y792" s="114"/>
      <c r="Z792" s="114"/>
      <c r="AA792" s="114"/>
      <c r="AB792" s="114"/>
      <c r="AC792" s="114"/>
      <c r="AD792"/>
      <c r="AE792" s="180"/>
    </row>
    <row r="793" spans="1:32" s="1" customFormat="1" ht="66">
      <c r="A793" s="852"/>
      <c r="B793" s="713" t="s">
        <v>48</v>
      </c>
      <c r="C793" s="466" t="s">
        <v>125</v>
      </c>
      <c r="D793" s="554" t="s">
        <v>60</v>
      </c>
      <c r="E793" s="554"/>
      <c r="F793" s="554"/>
      <c r="G793" s="554"/>
      <c r="H793" s="466" t="s">
        <v>127</v>
      </c>
      <c r="I793" s="474" t="s">
        <v>34</v>
      </c>
      <c r="J793" s="549" t="s">
        <v>2159</v>
      </c>
      <c r="K793" s="484"/>
      <c r="L793" s="484"/>
      <c r="M793" s="466">
        <v>3</v>
      </c>
      <c r="N793" s="469" t="str">
        <f>IFERROR(EDATE(#REF!,-3),"Invalid procurement method or date entered")</f>
        <v>Invalid procurement method or date entered</v>
      </c>
      <c r="O793" s="470">
        <v>44074</v>
      </c>
      <c r="P793" s="485" t="s">
        <v>125</v>
      </c>
      <c r="Q793" s="485" t="s">
        <v>125</v>
      </c>
      <c r="R793" s="483">
        <v>250796.78783535998</v>
      </c>
      <c r="S793" s="470" t="s">
        <v>129</v>
      </c>
      <c r="T793" s="803" t="s">
        <v>36</v>
      </c>
      <c r="U793" s="466" t="s">
        <v>125</v>
      </c>
      <c r="V793" s="466"/>
      <c r="W793" s="486" t="s">
        <v>2156</v>
      </c>
      <c r="X793" s="114"/>
      <c r="Y793" s="114"/>
      <c r="Z793" s="114"/>
      <c r="AA793" s="114"/>
      <c r="AB793" s="114"/>
      <c r="AC793" s="114"/>
      <c r="AD793"/>
      <c r="AE793" s="180"/>
    </row>
    <row r="794" spans="1:32" s="1" customFormat="1" ht="66">
      <c r="A794" s="852"/>
      <c r="B794" s="713" t="s">
        <v>48</v>
      </c>
      <c r="C794" s="466" t="s">
        <v>125</v>
      </c>
      <c r="D794" s="554" t="s">
        <v>60</v>
      </c>
      <c r="E794" s="554"/>
      <c r="F794" s="554"/>
      <c r="G794" s="554"/>
      <c r="H794" s="466" t="s">
        <v>127</v>
      </c>
      <c r="I794" s="474" t="s">
        <v>34</v>
      </c>
      <c r="J794" s="549" t="s">
        <v>2160</v>
      </c>
      <c r="K794" s="484"/>
      <c r="L794" s="484"/>
      <c r="M794" s="466">
        <v>3</v>
      </c>
      <c r="N794" s="469" t="str">
        <f>IFERROR(EDATE(#REF!,-3),"Invalid procurement method or date entered")</f>
        <v>Invalid procurement method or date entered</v>
      </c>
      <c r="O794" s="470">
        <v>44074</v>
      </c>
      <c r="P794" s="485" t="s">
        <v>125</v>
      </c>
      <c r="Q794" s="770" t="s">
        <v>125</v>
      </c>
      <c r="R794" s="483">
        <v>197443.66187519999</v>
      </c>
      <c r="S794" s="792" t="s">
        <v>129</v>
      </c>
      <c r="T794" s="803" t="s">
        <v>36</v>
      </c>
      <c r="U794" s="466" t="s">
        <v>125</v>
      </c>
      <c r="V794" s="466"/>
      <c r="W794" s="486" t="s">
        <v>2156</v>
      </c>
      <c r="X794" s="114"/>
      <c r="Y794" s="114"/>
      <c r="Z794" s="114"/>
      <c r="AA794" s="114"/>
      <c r="AB794" s="114"/>
      <c r="AC794" s="114"/>
      <c r="AD794"/>
      <c r="AE794" s="180"/>
    </row>
    <row r="795" spans="1:32" s="1" customFormat="1" ht="72">
      <c r="A795" s="889"/>
      <c r="B795" s="57"/>
      <c r="C795" s="16" t="s">
        <v>758</v>
      </c>
      <c r="D795" s="31" t="s">
        <v>29</v>
      </c>
      <c r="E795" s="31"/>
      <c r="F795" s="31"/>
      <c r="G795" s="31"/>
      <c r="H795" s="5" t="s">
        <v>70</v>
      </c>
      <c r="I795" s="5" t="s">
        <v>34</v>
      </c>
      <c r="J795" s="16" t="s">
        <v>3441</v>
      </c>
      <c r="K795" s="8"/>
      <c r="L795" s="5" t="e">
        <f>IF(OR(S795=#REF!,S795=#REF!,S795=#REF!,S795=#REF!,S795=#REF!,S795=#REF!,S795=#REF!,S795=#REF!),12,IF(OR(S795=#REF!,S795=#REF!,S795=#REF!,S795=#REF!,S795=#REF!,S795=#REF!,S795=#REF!),3,IF(S795=#REF!,1,IF(S795=#REF!,18,IF(OR(S795=#REF!,S795=#REF!,S795=#REF!,S795=#REF!,S795=#REF!),14,"Invalid proposed procurement method")))))</f>
        <v>#REF!</v>
      </c>
      <c r="M795" s="193" t="str">
        <f>IFERROR(EDATE($N795,-3),"Invalid procurement method or date entered")</f>
        <v>Invalid procurement method or date entered</v>
      </c>
      <c r="N795" s="193" t="str">
        <f>IFERROR(EDATE(O795,-L795),"Invalid procurement method or date entered")</f>
        <v>Invalid procurement method or date entered</v>
      </c>
      <c r="O795" s="193">
        <v>44075</v>
      </c>
      <c r="P795" s="5">
        <v>120</v>
      </c>
      <c r="Q795" s="7" t="s">
        <v>3645</v>
      </c>
      <c r="R795" s="18">
        <v>3395000</v>
      </c>
      <c r="S795" s="5" t="s">
        <v>98</v>
      </c>
      <c r="T795" s="165" t="s">
        <v>41</v>
      </c>
      <c r="U795" s="48">
        <v>43917</v>
      </c>
      <c r="V795" s="48"/>
      <c r="W795" s="5" t="s">
        <v>3646</v>
      </c>
      <c r="X795" s="5" t="s">
        <v>175</v>
      </c>
      <c r="Y795" s="5" t="s">
        <v>457</v>
      </c>
      <c r="Z795" s="5"/>
      <c r="AA795" s="5" t="s">
        <v>54</v>
      </c>
      <c r="AB795" s="193" t="s">
        <v>1250</v>
      </c>
      <c r="AC795" s="8" t="s">
        <v>761</v>
      </c>
      <c r="AD795" s="70" t="s">
        <v>615</v>
      </c>
      <c r="AE795" s="158">
        <v>121428</v>
      </c>
    </row>
    <row r="796" spans="1:32" s="1" customFormat="1" ht="29.1" customHeight="1">
      <c r="A796" s="889"/>
      <c r="B796" s="719"/>
      <c r="C796" s="182" t="s">
        <v>3647</v>
      </c>
      <c r="D796" s="183" t="s">
        <v>29</v>
      </c>
      <c r="E796" s="183"/>
      <c r="F796" s="183"/>
      <c r="G796" s="183"/>
      <c r="H796" s="184" t="s">
        <v>364</v>
      </c>
      <c r="I796" s="184" t="s">
        <v>64</v>
      </c>
      <c r="J796" s="185" t="s">
        <v>3648</v>
      </c>
      <c r="K796" s="185"/>
      <c r="L796" s="184" t="e">
        <f>IF(OR(S796=#REF!,S796=#REF!,S796=#REF!,S796=#REF!,S796=#REF!,S796=#REF!,S796=#REF!,S796=#REF!),12,IF(OR(S796=#REF!,S796=#REF!,S796=#REF!,S796=#REF!,S796=#REF!,S796=#REF!,S796=#REF!),3,IF(S796=#REF!,1,IF(S796=#REF!,18,IF(OR(S796=#REF!,S796=#REF!,S796=#REF!,S796=#REF!,S796=#REF!),14,"Invalid proposed procurement method")))))</f>
        <v>#REF!</v>
      </c>
      <c r="M796" s="186" t="str">
        <f>IFERROR(EDATE($N796,-3),"Invalid procurement method or date entered")</f>
        <v>Invalid procurement method or date entered</v>
      </c>
      <c r="N796" s="186" t="str">
        <f>IFERROR(EDATE(O796,-L796),"Invalid procurement method or date entered")</f>
        <v>Invalid procurement method or date entered</v>
      </c>
      <c r="O796" s="187">
        <v>44075</v>
      </c>
      <c r="P796" s="245">
        <v>36</v>
      </c>
      <c r="Q796" s="245" t="s">
        <v>3270</v>
      </c>
      <c r="R796" s="1459">
        <v>214500</v>
      </c>
      <c r="S796" s="1374" t="s">
        <v>326</v>
      </c>
      <c r="T796" s="302" t="s">
        <v>54</v>
      </c>
      <c r="U796" s="188" t="s">
        <v>37</v>
      </c>
      <c r="V796" s="188"/>
      <c r="W796" s="184" t="s">
        <v>1141</v>
      </c>
      <c r="X796" s="184" t="s">
        <v>94</v>
      </c>
      <c r="Y796" s="184" t="s">
        <v>457</v>
      </c>
      <c r="Z796" s="184"/>
      <c r="AA796" s="184" t="s">
        <v>41</v>
      </c>
      <c r="AB796" s="193" t="s">
        <v>1082</v>
      </c>
      <c r="AC796" s="69" t="s">
        <v>3649</v>
      </c>
      <c r="AD796" s="857" t="s">
        <v>416</v>
      </c>
      <c r="AE796" s="231"/>
    </row>
    <row r="797" spans="1:32" ht="72">
      <c r="A797" s="852"/>
      <c r="B797" s="57"/>
      <c r="C797" s="4" t="s">
        <v>3650</v>
      </c>
      <c r="D797" s="5" t="s">
        <v>29</v>
      </c>
      <c r="E797" s="5"/>
      <c r="F797" s="5"/>
      <c r="G797" s="5"/>
      <c r="H797" s="5" t="s">
        <v>70</v>
      </c>
      <c r="I797" s="5" t="s">
        <v>34</v>
      </c>
      <c r="J797" s="16" t="s">
        <v>3651</v>
      </c>
      <c r="K797" s="16"/>
      <c r="L797" s="5" t="e">
        <f>IF(OR(S797=#REF!,S797=#REF!,S797=#REF!,S797=#REF!,S797=#REF!,S797=#REF!,S797=#REF!,S797=#REF!),12,IF(OR(S797=#REF!,S797=#REF!,S797=#REF!,S797=#REF!,S797=#REF!,S797=#REF!,S797=#REF!),3,IF(S797=#REF!,1,IF(S797=#REF!,18,IF(OR(S797=#REF!,S797=#REF!,S797=#REF!,S797=#REF!,S797=#REF!),14,"Invalid proposed procurement method")))))</f>
        <v>#REF!</v>
      </c>
      <c r="M797" s="193" t="str">
        <f>IFERROR(EDATE($N797,-3),"Invalid procurement method or date entered")</f>
        <v>Invalid procurement method or date entered</v>
      </c>
      <c r="N797" s="193" t="str">
        <f>IFERROR(EDATE(O797,-L797),"Invalid procurement method or date entered")</f>
        <v>Invalid procurement method or date entered</v>
      </c>
      <c r="O797" s="176">
        <v>44075</v>
      </c>
      <c r="P797" s="12">
        <v>24</v>
      </c>
      <c r="Q797" s="7" t="s">
        <v>365</v>
      </c>
      <c r="R797" s="18">
        <v>128562.77</v>
      </c>
      <c r="S797" s="5" t="s">
        <v>109</v>
      </c>
      <c r="T797" s="163" t="s">
        <v>36</v>
      </c>
      <c r="U797" s="50" t="s">
        <v>37</v>
      </c>
      <c r="V797" s="50"/>
      <c r="W797" s="5" t="s">
        <v>1140</v>
      </c>
      <c r="X797" s="5" t="s">
        <v>1091</v>
      </c>
      <c r="Y797" s="5" t="s">
        <v>457</v>
      </c>
      <c r="Z797" s="5"/>
      <c r="AA797" s="5" t="s">
        <v>54</v>
      </c>
      <c r="AB797" s="193" t="s">
        <v>1082</v>
      </c>
      <c r="AC797" s="8" t="s">
        <v>3652</v>
      </c>
      <c r="AD797" s="74" t="s">
        <v>3653</v>
      </c>
      <c r="AE797" s="158">
        <v>64281</v>
      </c>
      <c r="AF797" s="1"/>
    </row>
    <row r="798" spans="1:32" s="1" customFormat="1" ht="302.39999999999998">
      <c r="A798" s="852"/>
      <c r="B798" s="303"/>
      <c r="C798" s="4" t="s">
        <v>1298</v>
      </c>
      <c r="D798" s="31" t="s">
        <v>29</v>
      </c>
      <c r="E798" s="31"/>
      <c r="F798" s="31"/>
      <c r="G798" s="31"/>
      <c r="H798" s="12" t="s">
        <v>70</v>
      </c>
      <c r="I798" s="12" t="s">
        <v>64</v>
      </c>
      <c r="J798" s="16" t="s">
        <v>1051</v>
      </c>
      <c r="K798" s="16"/>
      <c r="L798" s="16"/>
      <c r="M798" s="176">
        <v>43739</v>
      </c>
      <c r="N798" s="176"/>
      <c r="O798" s="176">
        <v>44075</v>
      </c>
      <c r="P798" s="12">
        <v>84</v>
      </c>
      <c r="Q798" s="12" t="s">
        <v>3654</v>
      </c>
      <c r="R798" s="18" t="s">
        <v>3655</v>
      </c>
      <c r="S798" s="5" t="s">
        <v>66</v>
      </c>
      <c r="T798" s="26" t="s">
        <v>54</v>
      </c>
      <c r="U798" s="12" t="s">
        <v>37</v>
      </c>
      <c r="V798" s="12"/>
      <c r="W798" s="12" t="s">
        <v>286</v>
      </c>
      <c r="X798" s="5" t="s">
        <v>1088</v>
      </c>
      <c r="Y798" s="15" t="s">
        <v>3656</v>
      </c>
      <c r="Z798" s="15"/>
      <c r="AA798" s="5"/>
      <c r="AB798" s="193" t="s">
        <v>1082</v>
      </c>
      <c r="AC798" s="35" t="s">
        <v>3657</v>
      </c>
      <c r="AD798" s="70" t="s">
        <v>2528</v>
      </c>
      <c r="AE798" s="219">
        <v>4999</v>
      </c>
    </row>
    <row r="799" spans="1:32" s="1" customFormat="1" ht="244.8">
      <c r="A799" s="889"/>
      <c r="B799" s="303"/>
      <c r="C799" s="4" t="s">
        <v>1280</v>
      </c>
      <c r="D799" s="31" t="s">
        <v>29</v>
      </c>
      <c r="E799" s="31"/>
      <c r="F799" s="31"/>
      <c r="G799" s="31"/>
      <c r="H799" s="5" t="s">
        <v>70</v>
      </c>
      <c r="I799" s="5" t="s">
        <v>64</v>
      </c>
      <c r="J799" s="16" t="s">
        <v>2939</v>
      </c>
      <c r="K799" s="16"/>
      <c r="L799" s="16"/>
      <c r="M799" s="176">
        <v>43770</v>
      </c>
      <c r="N799" s="176"/>
      <c r="O799" s="176">
        <v>44075</v>
      </c>
      <c r="P799" s="12">
        <v>48</v>
      </c>
      <c r="Q799" s="7" t="s">
        <v>1316</v>
      </c>
      <c r="R799" s="18">
        <v>603912</v>
      </c>
      <c r="S799" s="5" t="s">
        <v>66</v>
      </c>
      <c r="T799" s="161" t="s">
        <v>41</v>
      </c>
      <c r="U799" s="45" t="s">
        <v>35</v>
      </c>
      <c r="V799" s="45"/>
      <c r="W799" s="5" t="s">
        <v>2940</v>
      </c>
      <c r="X799" s="5" t="s">
        <v>1088</v>
      </c>
      <c r="Y799" s="5" t="s">
        <v>457</v>
      </c>
      <c r="Z799" s="5"/>
      <c r="AA799" s="5"/>
      <c r="AB799" s="193" t="s">
        <v>1082</v>
      </c>
      <c r="AC799" s="8" t="s">
        <v>3658</v>
      </c>
      <c r="AD799"/>
      <c r="AE799" s="215">
        <v>150348</v>
      </c>
    </row>
    <row r="800" spans="1:32" s="1" customFormat="1" ht="72">
      <c r="A800" s="852"/>
      <c r="B800" s="141"/>
      <c r="C800" s="1351" t="s">
        <v>3659</v>
      </c>
      <c r="D800" s="1355" t="s">
        <v>29</v>
      </c>
      <c r="E800" s="1355"/>
      <c r="F800" s="1355"/>
      <c r="G800" s="1355"/>
      <c r="H800" s="1330" t="s">
        <v>364</v>
      </c>
      <c r="I800" s="1330" t="s">
        <v>34</v>
      </c>
      <c r="J800" s="1351" t="s">
        <v>3660</v>
      </c>
      <c r="K800" s="1351"/>
      <c r="L800" s="5" t="e">
        <f>IF(OR(S800=#REF!,S800=#REF!,S800=#REF!,S800=#REF!,S800=#REF!,S800=#REF!,S800=#REF!,S800=#REF!),12,IF(OR(S800=#REF!,S800=#REF!,S800=#REF!,S800=#REF!,S800=#REF!,S800=#REF!,S800=#REF!),3,IF(S800=#REF!,1,IF(S800=#REF!,18,IF(OR(S800=#REF!,S800=#REF!,S800=#REF!,S800=#REF!,S800=#REF!),14,"Invalid proposed procurement method")))))</f>
        <v>#REF!</v>
      </c>
      <c r="M800" s="193" t="str">
        <f>IFERROR(EDATE($N800,-3),"Invalid procurement method or date entered")</f>
        <v>Invalid procurement method or date entered</v>
      </c>
      <c r="N800" s="193" t="str">
        <f>IFERROR(EDATE(O800,-L800),"Invalid procurement method or date entered")</f>
        <v>Invalid procurement method or date entered</v>
      </c>
      <c r="O800" s="1329">
        <v>44075</v>
      </c>
      <c r="P800" s="1330">
        <v>36</v>
      </c>
      <c r="Q800" s="1330" t="s">
        <v>366</v>
      </c>
      <c r="R800" s="1353">
        <v>21000</v>
      </c>
      <c r="S800" s="1335" t="s">
        <v>217</v>
      </c>
      <c r="T800" s="1352" t="s">
        <v>54</v>
      </c>
      <c r="U800" s="1330" t="s">
        <v>37</v>
      </c>
      <c r="V800" s="1330"/>
      <c r="W800" s="1330" t="s">
        <v>1309</v>
      </c>
      <c r="X800" s="1330" t="s">
        <v>94</v>
      </c>
      <c r="Y800" s="1330" t="s">
        <v>457</v>
      </c>
      <c r="Z800" s="1330"/>
      <c r="AA800" s="5" t="s">
        <v>41</v>
      </c>
      <c r="AB800" s="193" t="s">
        <v>1250</v>
      </c>
      <c r="AC800" s="1327" t="s">
        <v>3661</v>
      </c>
      <c r="AD800" s="1356" t="s">
        <v>1330</v>
      </c>
      <c r="AE800" s="1352"/>
    </row>
    <row r="801" spans="1:32" s="1" customFormat="1" ht="43.35" customHeight="1">
      <c r="A801" s="889"/>
      <c r="B801" s="141"/>
      <c r="C801" s="4" t="s">
        <v>35</v>
      </c>
      <c r="D801" s="31" t="s">
        <v>29</v>
      </c>
      <c r="E801" s="31"/>
      <c r="F801" s="31"/>
      <c r="G801" s="31"/>
      <c r="H801" s="5" t="s">
        <v>70</v>
      </c>
      <c r="I801" s="5" t="s">
        <v>34</v>
      </c>
      <c r="J801" s="16" t="s">
        <v>3662</v>
      </c>
      <c r="K801" s="8"/>
      <c r="L801" s="8"/>
      <c r="M801" s="193">
        <v>43922</v>
      </c>
      <c r="N801" s="193"/>
      <c r="O801" s="193">
        <v>44075</v>
      </c>
      <c r="P801" s="5">
        <v>36</v>
      </c>
      <c r="Q801" s="25" t="s">
        <v>488</v>
      </c>
      <c r="R801" s="178">
        <v>130826</v>
      </c>
      <c r="S801" s="200" t="s">
        <v>217</v>
      </c>
      <c r="T801" s="179" t="s">
        <v>54</v>
      </c>
      <c r="U801" s="15" t="s">
        <v>37</v>
      </c>
      <c r="V801" s="15"/>
      <c r="W801" s="5" t="s">
        <v>3663</v>
      </c>
      <c r="X801" s="5" t="s">
        <v>2689</v>
      </c>
      <c r="Y801" s="5" t="s">
        <v>457</v>
      </c>
      <c r="Z801" s="5"/>
      <c r="AA801" s="5"/>
      <c r="AB801" s="193" t="s">
        <v>1082</v>
      </c>
      <c r="AC801" s="8" t="s">
        <v>3664</v>
      </c>
      <c r="AD801" s="70" t="s">
        <v>3483</v>
      </c>
      <c r="AE801" s="158"/>
    </row>
    <row r="802" spans="1:32" s="1" customFormat="1" ht="86.4">
      <c r="A802" s="888"/>
      <c r="B802" s="141"/>
      <c r="C802" s="182" t="s">
        <v>3665</v>
      </c>
      <c r="D802" s="183" t="s">
        <v>29</v>
      </c>
      <c r="E802" s="183"/>
      <c r="F802" s="183"/>
      <c r="G802" s="183"/>
      <c r="H802" s="184" t="s">
        <v>70</v>
      </c>
      <c r="I802" s="184" t="s">
        <v>34</v>
      </c>
      <c r="J802" s="185" t="s">
        <v>3666</v>
      </c>
      <c r="K802" s="69"/>
      <c r="L802" s="184" t="e">
        <f>IF(OR(S802=#REF!,S802=#REF!,S802=#REF!,S802=#REF!,S802=#REF!,S802=#REF!,S802=#REF!,S802=#REF!),12,IF(OR(S802=#REF!,S802=#REF!,S802=#REF!,S802=#REF!,S802=#REF!,S802=#REF!,S802=#REF!),3,IF(S802=#REF!,1,IF(S802=#REF!,18,IF(OR(S802=#REF!,S802=#REF!,S802=#REF!,S802=#REF!,S802=#REF!),14,"Invalid proposed procurement method")))))</f>
        <v>#REF!</v>
      </c>
      <c r="M802" s="186" t="str">
        <f>IFERROR(EDATE($N802,-3),"Invalid procurement method or date entered")</f>
        <v>Invalid procurement method or date entered</v>
      </c>
      <c r="N802" s="186" t="str">
        <f>IFERROR(EDATE(O802,-L802),"Invalid procurement method or date entered")</f>
        <v>Invalid procurement method or date entered</v>
      </c>
      <c r="O802" s="186">
        <v>44075</v>
      </c>
      <c r="P802" s="184">
        <v>12</v>
      </c>
      <c r="Q802" s="190" t="s">
        <v>108</v>
      </c>
      <c r="R802" s="246">
        <v>25000</v>
      </c>
      <c r="S802" s="799" t="s">
        <v>909</v>
      </c>
      <c r="T802" s="302" t="s">
        <v>54</v>
      </c>
      <c r="U802" s="188"/>
      <c r="V802" s="188"/>
      <c r="W802" s="184" t="s">
        <v>3663</v>
      </c>
      <c r="X802" s="184" t="s">
        <v>94</v>
      </c>
      <c r="Y802" s="184" t="s">
        <v>457</v>
      </c>
      <c r="Z802" s="184"/>
      <c r="AA802" s="184" t="s">
        <v>41</v>
      </c>
      <c r="AB802" s="193" t="s">
        <v>1082</v>
      </c>
      <c r="AC802" s="69" t="s">
        <v>3667</v>
      </c>
      <c r="AD802" s="857" t="s">
        <v>3483</v>
      </c>
      <c r="AE802" s="247"/>
    </row>
    <row r="803" spans="1:32" s="1" customFormat="1" ht="43.35" customHeight="1">
      <c r="A803" s="888"/>
      <c r="B803" s="141"/>
      <c r="C803" s="1351" t="s">
        <v>3668</v>
      </c>
      <c r="D803" s="1350" t="s">
        <v>29</v>
      </c>
      <c r="E803" s="1350"/>
      <c r="F803" s="1350"/>
      <c r="G803" s="1350"/>
      <c r="H803" s="1351" t="s">
        <v>364</v>
      </c>
      <c r="I803" s="1330" t="s">
        <v>34</v>
      </c>
      <c r="J803" s="1351" t="s">
        <v>3669</v>
      </c>
      <c r="K803" s="1351"/>
      <c r="L803" s="1351"/>
      <c r="M803" s="1329">
        <v>44044</v>
      </c>
      <c r="N803" s="1329"/>
      <c r="O803" s="1329">
        <v>44075</v>
      </c>
      <c r="P803" s="1330">
        <v>48</v>
      </c>
      <c r="Q803" s="1330" t="s">
        <v>191</v>
      </c>
      <c r="R803" s="1353">
        <v>30000</v>
      </c>
      <c r="S803" s="1335" t="s">
        <v>3670</v>
      </c>
      <c r="T803" s="1352" t="s">
        <v>54</v>
      </c>
      <c r="U803" s="1330" t="s">
        <v>37</v>
      </c>
      <c r="V803" s="1330"/>
      <c r="W803" s="1330" t="s">
        <v>1309</v>
      </c>
      <c r="X803" s="1330" t="s">
        <v>94</v>
      </c>
      <c r="Y803" s="1330" t="s">
        <v>457</v>
      </c>
      <c r="Z803" s="1330"/>
      <c r="AA803" s="1330"/>
      <c r="AB803" s="193" t="s">
        <v>3429</v>
      </c>
      <c r="AC803" s="1354" t="s">
        <v>3671</v>
      </c>
      <c r="AD803" s="1356" t="s">
        <v>1330</v>
      </c>
      <c r="AE803" s="1352"/>
    </row>
    <row r="804" spans="1:32" s="1" customFormat="1" ht="14.4" customHeight="1">
      <c r="A804" s="888"/>
      <c r="B804" s="420" t="s">
        <v>145</v>
      </c>
      <c r="C804" s="323"/>
      <c r="D804" s="112" t="s">
        <v>82</v>
      </c>
      <c r="E804" s="112"/>
      <c r="F804" s="112"/>
      <c r="G804" s="112"/>
      <c r="H804" s="8" t="s">
        <v>148</v>
      </c>
      <c r="I804" s="8" t="s">
        <v>64</v>
      </c>
      <c r="J804" s="16" t="s">
        <v>744</v>
      </c>
      <c r="K804" s="8"/>
      <c r="L804" s="8"/>
      <c r="M804" s="328">
        <v>43313</v>
      </c>
      <c r="N804" s="8"/>
      <c r="O804" s="328">
        <v>44075</v>
      </c>
      <c r="P804" s="330">
        <v>60</v>
      </c>
      <c r="Q804" s="330" t="s">
        <v>358</v>
      </c>
      <c r="R804" s="153">
        <v>1470000</v>
      </c>
      <c r="S804" s="153" t="s">
        <v>66</v>
      </c>
      <c r="T804" s="350" t="s">
        <v>54</v>
      </c>
      <c r="U804" s="326" t="s">
        <v>3672</v>
      </c>
      <c r="V804" s="326"/>
      <c r="W804" s="8" t="s">
        <v>680</v>
      </c>
      <c r="X804" s="8" t="s">
        <v>428</v>
      </c>
      <c r="Y804" s="8" t="s">
        <v>457</v>
      </c>
      <c r="Z804" s="8"/>
      <c r="AA804" s="327"/>
      <c r="AB804" s="389" t="s">
        <v>3621</v>
      </c>
      <c r="AC804" s="171"/>
      <c r="AD804" s="390"/>
      <c r="AE804" s="443"/>
    </row>
    <row r="805" spans="1:32" s="1" customFormat="1" ht="72">
      <c r="A805" s="888"/>
      <c r="B805" s="141" t="s">
        <v>28</v>
      </c>
      <c r="C805" s="4" t="s">
        <v>3673</v>
      </c>
      <c r="D805" s="31" t="s">
        <v>29</v>
      </c>
      <c r="E805" s="31"/>
      <c r="F805" s="31"/>
      <c r="G805" s="31"/>
      <c r="H805" s="5" t="s">
        <v>81</v>
      </c>
      <c r="I805" s="5" t="s">
        <v>64</v>
      </c>
      <c r="J805" s="16" t="s">
        <v>881</v>
      </c>
      <c r="K805" s="8"/>
      <c r="L805" s="8"/>
      <c r="M805" s="193">
        <v>43739</v>
      </c>
      <c r="N805" s="193"/>
      <c r="O805" s="193">
        <v>44075</v>
      </c>
      <c r="P805" s="5">
        <v>60</v>
      </c>
      <c r="Q805" s="7" t="s">
        <v>3674</v>
      </c>
      <c r="R805" s="18">
        <v>105825</v>
      </c>
      <c r="S805" s="5" t="s">
        <v>66</v>
      </c>
      <c r="T805" s="165" t="s">
        <v>36</v>
      </c>
      <c r="U805" s="4"/>
      <c r="V805" s="4"/>
      <c r="W805" s="5" t="s">
        <v>1288</v>
      </c>
      <c r="X805" s="9" t="s">
        <v>1088</v>
      </c>
      <c r="Y805" s="5" t="s">
        <v>457</v>
      </c>
      <c r="Z805" s="5"/>
      <c r="AA805" s="5"/>
      <c r="AB805" s="1386">
        <v>43752</v>
      </c>
      <c r="AC805" s="8" t="s">
        <v>3675</v>
      </c>
      <c r="AE805" s="158">
        <v>21165</v>
      </c>
      <c r="AF805" s="34"/>
    </row>
    <row r="806" spans="1:32" s="1" customFormat="1" ht="43.2">
      <c r="A806" s="888"/>
      <c r="B806" s="420" t="s">
        <v>145</v>
      </c>
      <c r="C806" s="323"/>
      <c r="D806" s="420" t="s">
        <v>60</v>
      </c>
      <c r="E806" s="420"/>
      <c r="F806" s="420"/>
      <c r="G806" s="420"/>
      <c r="H806" s="78" t="s">
        <v>316</v>
      </c>
      <c r="I806" s="78" t="s">
        <v>34</v>
      </c>
      <c r="J806" s="1031" t="s">
        <v>1318</v>
      </c>
      <c r="K806" s="78"/>
      <c r="L806" s="78"/>
      <c r="M806" s="346">
        <v>43831</v>
      </c>
      <c r="N806" s="78"/>
      <c r="O806" s="391">
        <v>44075</v>
      </c>
      <c r="P806" s="392">
        <v>24</v>
      </c>
      <c r="Q806" s="433" t="s">
        <v>366</v>
      </c>
      <c r="R806" s="393">
        <v>80000</v>
      </c>
      <c r="S806" s="435" t="s">
        <v>163</v>
      </c>
      <c r="T806" s="440" t="s">
        <v>54</v>
      </c>
      <c r="U806" s="392" t="s">
        <v>43</v>
      </c>
      <c r="V806" s="392"/>
      <c r="W806" s="78" t="s">
        <v>3676</v>
      </c>
      <c r="X806" s="78" t="s">
        <v>1119</v>
      </c>
      <c r="Y806" s="78" t="s">
        <v>59</v>
      </c>
      <c r="Z806" s="78"/>
      <c r="AA806" s="323"/>
      <c r="AB806" s="389" t="s">
        <v>3606</v>
      </c>
      <c r="AC806" s="394" t="s">
        <v>3677</v>
      </c>
      <c r="AD806" s="395"/>
      <c r="AE806" s="459"/>
    </row>
    <row r="807" spans="1:32" s="1" customFormat="1" ht="26.4">
      <c r="A807" s="852"/>
      <c r="B807" s="713" t="s">
        <v>48</v>
      </c>
      <c r="C807" s="465"/>
      <c r="D807" s="554" t="s">
        <v>29</v>
      </c>
      <c r="E807" s="554"/>
      <c r="F807" s="554"/>
      <c r="G807" s="554"/>
      <c r="H807" s="466" t="s">
        <v>165</v>
      </c>
      <c r="I807" s="474" t="s">
        <v>34</v>
      </c>
      <c r="J807" s="1024" t="s">
        <v>1676</v>
      </c>
      <c r="K807" s="467"/>
      <c r="L807" s="540">
        <v>43344</v>
      </c>
      <c r="M807" s="540"/>
      <c r="N807" s="540"/>
      <c r="O807" s="540">
        <v>44075</v>
      </c>
      <c r="P807" s="471">
        <v>48</v>
      </c>
      <c r="Q807" s="471">
        <v>48</v>
      </c>
      <c r="R807" s="542">
        <f>4*8405</f>
        <v>33620</v>
      </c>
      <c r="S807" s="478" t="s">
        <v>35</v>
      </c>
      <c r="T807" s="803" t="s">
        <v>54</v>
      </c>
      <c r="U807" s="470"/>
      <c r="V807" s="470"/>
      <c r="W807" s="474" t="s">
        <v>756</v>
      </c>
      <c r="X807" s="114"/>
      <c r="Y807" s="114"/>
      <c r="Z807" s="114"/>
      <c r="AA807" s="114"/>
      <c r="AB807" s="114"/>
      <c r="AC807" s="114"/>
      <c r="AD807"/>
      <c r="AE807" s="180"/>
    </row>
    <row r="808" spans="1:32" s="1" customFormat="1" ht="52.8">
      <c r="A808" s="852"/>
      <c r="B808" s="713" t="s">
        <v>48</v>
      </c>
      <c r="C808" s="465" t="s">
        <v>125</v>
      </c>
      <c r="D808" s="554" t="s">
        <v>60</v>
      </c>
      <c r="E808" s="554"/>
      <c r="F808" s="554"/>
      <c r="G808" s="554"/>
      <c r="H808" s="466" t="s">
        <v>127</v>
      </c>
      <c r="I808" s="474" t="s">
        <v>34</v>
      </c>
      <c r="J808" s="1024" t="s">
        <v>2057</v>
      </c>
      <c r="K808" s="467"/>
      <c r="L808" s="470">
        <v>43952</v>
      </c>
      <c r="M808" s="470"/>
      <c r="N808" s="470"/>
      <c r="O808" s="470">
        <v>44075</v>
      </c>
      <c r="P808" s="485" t="s">
        <v>125</v>
      </c>
      <c r="Q808" s="485" t="s">
        <v>125</v>
      </c>
      <c r="R808" s="542">
        <v>25000</v>
      </c>
      <c r="S808" s="478" t="s">
        <v>2058</v>
      </c>
      <c r="T808" s="803" t="s">
        <v>36</v>
      </c>
      <c r="U808" s="470" t="s">
        <v>125</v>
      </c>
      <c r="V808" s="470"/>
      <c r="W808" s="474" t="s">
        <v>130</v>
      </c>
      <c r="X808" s="114"/>
      <c r="Y808" s="114"/>
      <c r="Z808" s="114"/>
      <c r="AA808" s="114"/>
      <c r="AB808" s="114"/>
      <c r="AC808" s="114"/>
      <c r="AD808"/>
      <c r="AE808" s="180"/>
    </row>
    <row r="809" spans="1:32" s="1" customFormat="1" ht="52.8">
      <c r="A809" s="852"/>
      <c r="B809" s="713" t="s">
        <v>48</v>
      </c>
      <c r="C809" s="465" t="s">
        <v>125</v>
      </c>
      <c r="D809" s="554" t="s">
        <v>60</v>
      </c>
      <c r="E809" s="554"/>
      <c r="F809" s="554"/>
      <c r="G809" s="554"/>
      <c r="H809" s="466" t="s">
        <v>127</v>
      </c>
      <c r="I809" s="474" t="s">
        <v>34</v>
      </c>
      <c r="J809" s="1024" t="s">
        <v>2095</v>
      </c>
      <c r="K809" s="467"/>
      <c r="L809" s="470">
        <v>44025</v>
      </c>
      <c r="M809" s="470"/>
      <c r="N809" s="470"/>
      <c r="O809" s="470">
        <v>44075</v>
      </c>
      <c r="P809" s="485" t="s">
        <v>125</v>
      </c>
      <c r="Q809" s="485" t="s">
        <v>125</v>
      </c>
      <c r="R809" s="542">
        <v>40000</v>
      </c>
      <c r="S809" s="470" t="s">
        <v>2096</v>
      </c>
      <c r="T809" s="803" t="s">
        <v>36</v>
      </c>
      <c r="U809" s="470" t="s">
        <v>125</v>
      </c>
      <c r="V809" s="470"/>
      <c r="W809" s="474" t="s">
        <v>226</v>
      </c>
      <c r="X809" s="114"/>
      <c r="Y809" s="114"/>
      <c r="Z809" s="114"/>
      <c r="AA809" s="114"/>
      <c r="AB809" s="114"/>
      <c r="AC809" s="114"/>
      <c r="AD809"/>
      <c r="AE809" s="180"/>
    </row>
    <row r="810" spans="1:32" s="1" customFormat="1" ht="52.8">
      <c r="A810" s="852"/>
      <c r="B810" s="713" t="s">
        <v>48</v>
      </c>
      <c r="C810" s="465" t="s">
        <v>2144</v>
      </c>
      <c r="D810" s="554" t="s">
        <v>60</v>
      </c>
      <c r="E810" s="554"/>
      <c r="F810" s="554"/>
      <c r="G810" s="554"/>
      <c r="H810" s="466" t="s">
        <v>127</v>
      </c>
      <c r="I810" s="474" t="s">
        <v>34</v>
      </c>
      <c r="J810" s="1024" t="s">
        <v>2145</v>
      </c>
      <c r="K810" s="467"/>
      <c r="L810" s="470">
        <v>43952</v>
      </c>
      <c r="M810" s="470"/>
      <c r="N810" s="470"/>
      <c r="O810" s="470">
        <v>44075</v>
      </c>
      <c r="P810" s="485" t="s">
        <v>125</v>
      </c>
      <c r="Q810" s="485" t="s">
        <v>125</v>
      </c>
      <c r="R810" s="483">
        <v>35000</v>
      </c>
      <c r="S810" s="470" t="s">
        <v>2058</v>
      </c>
      <c r="T810" s="803" t="s">
        <v>36</v>
      </c>
      <c r="U810" s="470" t="s">
        <v>125</v>
      </c>
      <c r="V810" s="470"/>
      <c r="W810" s="474" t="s">
        <v>2146</v>
      </c>
      <c r="X810" s="114"/>
      <c r="Y810" s="114"/>
      <c r="Z810" s="114"/>
      <c r="AA810" s="114"/>
      <c r="AB810" s="114"/>
      <c r="AC810" s="114"/>
      <c r="AD810"/>
      <c r="AE810" s="180"/>
    </row>
    <row r="811" spans="1:32" s="1" customFormat="1" ht="29.1" customHeight="1">
      <c r="A811" s="852"/>
      <c r="B811" s="713" t="s">
        <v>48</v>
      </c>
      <c r="C811" s="465" t="s">
        <v>2147</v>
      </c>
      <c r="D811" s="554" t="s">
        <v>60</v>
      </c>
      <c r="E811" s="554"/>
      <c r="F811" s="554"/>
      <c r="G811" s="554"/>
      <c r="H811" s="466" t="s">
        <v>127</v>
      </c>
      <c r="I811" s="474" t="s">
        <v>34</v>
      </c>
      <c r="J811" s="549" t="s">
        <v>2148</v>
      </c>
      <c r="K811" s="484"/>
      <c r="L811" s="470">
        <v>44018</v>
      </c>
      <c r="M811" s="470"/>
      <c r="N811" s="470"/>
      <c r="O811" s="470">
        <v>44075</v>
      </c>
      <c r="P811" s="491" t="s">
        <v>125</v>
      </c>
      <c r="Q811" s="765" t="s">
        <v>125</v>
      </c>
      <c r="R811" s="493">
        <v>104000</v>
      </c>
      <c r="S811" s="792" t="s">
        <v>163</v>
      </c>
      <c r="T811" s="765" t="s">
        <v>36</v>
      </c>
      <c r="U811" s="469">
        <v>43700</v>
      </c>
      <c r="V811" s="469"/>
      <c r="W811" s="474" t="s">
        <v>226</v>
      </c>
      <c r="X811" s="114"/>
      <c r="Y811" s="114"/>
      <c r="Z811" s="114"/>
      <c r="AA811" s="114"/>
      <c r="AB811" s="114"/>
      <c r="AC811" s="114"/>
      <c r="AD811"/>
      <c r="AE811" s="180"/>
    </row>
    <row r="812" spans="1:32" s="1" customFormat="1" ht="29.1" customHeight="1">
      <c r="A812" s="852"/>
      <c r="B812" s="713" t="s">
        <v>48</v>
      </c>
      <c r="C812" s="465" t="s">
        <v>2151</v>
      </c>
      <c r="D812" s="554" t="s">
        <v>60</v>
      </c>
      <c r="E812" s="554"/>
      <c r="F812" s="554"/>
      <c r="G812" s="554"/>
      <c r="H812" s="466" t="s">
        <v>127</v>
      </c>
      <c r="I812" s="474" t="s">
        <v>34</v>
      </c>
      <c r="J812" s="1024" t="s">
        <v>2152</v>
      </c>
      <c r="K812" s="467"/>
      <c r="L812" s="470">
        <v>44013</v>
      </c>
      <c r="M812" s="470"/>
      <c r="N812" s="470"/>
      <c r="O812" s="470">
        <v>44075</v>
      </c>
      <c r="P812" s="471" t="s">
        <v>125</v>
      </c>
      <c r="Q812" s="471" t="s">
        <v>125</v>
      </c>
      <c r="R812" s="483">
        <v>866856</v>
      </c>
      <c r="S812" s="470" t="s">
        <v>158</v>
      </c>
      <c r="T812" s="803" t="s">
        <v>41</v>
      </c>
      <c r="U812" s="465" t="s">
        <v>125</v>
      </c>
      <c r="V812" s="465"/>
      <c r="W812" s="465" t="s">
        <v>1681</v>
      </c>
      <c r="X812" s="114"/>
      <c r="Y812" s="114"/>
      <c r="Z812" s="114"/>
      <c r="AA812" s="114"/>
      <c r="AB812" s="114"/>
      <c r="AC812" s="114"/>
      <c r="AD812"/>
      <c r="AE812" s="180"/>
    </row>
    <row r="813" spans="1:32" s="1" customFormat="1" ht="43.35" customHeight="1">
      <c r="A813" s="852"/>
      <c r="B813" s="713" t="s">
        <v>48</v>
      </c>
      <c r="C813" s="465" t="s">
        <v>2229</v>
      </c>
      <c r="D813" s="554" t="s">
        <v>60</v>
      </c>
      <c r="E813" s="554"/>
      <c r="F813" s="554"/>
      <c r="G813" s="554"/>
      <c r="H813" s="466" t="s">
        <v>127</v>
      </c>
      <c r="I813" s="474" t="s">
        <v>34</v>
      </c>
      <c r="J813" s="1024" t="s">
        <v>2230</v>
      </c>
      <c r="K813" s="467"/>
      <c r="L813" s="467"/>
      <c r="M813" s="466">
        <v>1</v>
      </c>
      <c r="N813" s="469" t="str">
        <f>IF(O813="tbc","",(IFERROR(EDATE(#REF!,-3),"Invalid procurement method or date entered")))</f>
        <v>Invalid procurement method or date entered</v>
      </c>
      <c r="O813" s="470">
        <v>44075</v>
      </c>
      <c r="P813" s="485">
        <v>4</v>
      </c>
      <c r="Q813" s="485">
        <v>4</v>
      </c>
      <c r="R813" s="483">
        <v>900000</v>
      </c>
      <c r="S813" s="491" t="s">
        <v>163</v>
      </c>
      <c r="T813" s="803" t="s">
        <v>144</v>
      </c>
      <c r="U813" s="470" t="s">
        <v>125</v>
      </c>
      <c r="V813" s="470"/>
      <c r="W813" s="474" t="s">
        <v>1328</v>
      </c>
      <c r="X813" s="114"/>
      <c r="Y813" s="114"/>
      <c r="Z813" s="114"/>
      <c r="AA813" s="114"/>
      <c r="AB813" s="114"/>
      <c r="AC813" s="114"/>
      <c r="AD813"/>
      <c r="AE813" s="180"/>
    </row>
    <row r="814" spans="1:32" s="1" customFormat="1" ht="43.35" customHeight="1">
      <c r="A814" s="852"/>
      <c r="B814" s="717"/>
      <c r="C814" s="142" t="s">
        <v>3647</v>
      </c>
      <c r="D814" s="31" t="s">
        <v>29</v>
      </c>
      <c r="E814" s="31"/>
      <c r="F814" s="31"/>
      <c r="G814" s="31"/>
      <c r="H814" s="9" t="s">
        <v>364</v>
      </c>
      <c r="I814" s="9" t="s">
        <v>64</v>
      </c>
      <c r="J814" s="60" t="s">
        <v>3678</v>
      </c>
      <c r="K814" s="60"/>
      <c r="L814" s="60"/>
      <c r="M814" s="46">
        <v>44029</v>
      </c>
      <c r="N814" s="46"/>
      <c r="O814" s="46">
        <v>44076</v>
      </c>
      <c r="P814" s="244">
        <v>36</v>
      </c>
      <c r="Q814" s="244" t="s">
        <v>3270</v>
      </c>
      <c r="R814" s="1460">
        <v>214500</v>
      </c>
      <c r="S814" s="1461" t="s">
        <v>1824</v>
      </c>
      <c r="T814" s="179" t="s">
        <v>54</v>
      </c>
      <c r="U814" s="15" t="s">
        <v>37</v>
      </c>
      <c r="V814" s="15"/>
      <c r="W814" s="9" t="s">
        <v>1309</v>
      </c>
      <c r="X814" s="9" t="s">
        <v>94</v>
      </c>
      <c r="Y814" s="9" t="s">
        <v>457</v>
      </c>
      <c r="Z814" s="9"/>
      <c r="AA814" s="9"/>
      <c r="AB814" s="193" t="s">
        <v>1082</v>
      </c>
      <c r="AC814" s="6" t="s">
        <v>3679</v>
      </c>
      <c r="AD814" s="820" t="s">
        <v>416</v>
      </c>
      <c r="AE814" s="221"/>
    </row>
    <row r="815" spans="1:32" s="34" customFormat="1" ht="86.4" customHeight="1">
      <c r="A815" s="888"/>
      <c r="B815" s="141" t="s">
        <v>28</v>
      </c>
      <c r="C815" s="51" t="s">
        <v>3305</v>
      </c>
      <c r="D815" s="9" t="s">
        <v>29</v>
      </c>
      <c r="E815" s="9"/>
      <c r="F815" s="9"/>
      <c r="G815" s="9"/>
      <c r="H815" s="9" t="s">
        <v>70</v>
      </c>
      <c r="I815" s="5" t="s">
        <v>64</v>
      </c>
      <c r="J815" s="16" t="s">
        <v>3680</v>
      </c>
      <c r="K815" s="16"/>
      <c r="L815" s="16"/>
      <c r="M815" s="46">
        <v>43770</v>
      </c>
      <c r="N815" s="46"/>
      <c r="O815" s="46">
        <v>44080</v>
      </c>
      <c r="P815" s="1330">
        <v>36</v>
      </c>
      <c r="Q815" s="46" t="s">
        <v>1060</v>
      </c>
      <c r="R815" s="18">
        <v>76552</v>
      </c>
      <c r="S815" s="46" t="s">
        <v>66</v>
      </c>
      <c r="T815" s="165" t="s">
        <v>36</v>
      </c>
      <c r="U815" s="48" t="s">
        <v>37</v>
      </c>
      <c r="V815" s="48"/>
      <c r="W815" s="9" t="s">
        <v>2921</v>
      </c>
      <c r="X815" s="5" t="s">
        <v>1088</v>
      </c>
      <c r="Y815" s="5" t="s">
        <v>59</v>
      </c>
      <c r="Z815" s="5"/>
      <c r="AA815" s="40"/>
      <c r="AB815" s="177">
        <v>43979</v>
      </c>
      <c r="AC815" s="6" t="s">
        <v>3681</v>
      </c>
      <c r="AD815" s="70" t="s">
        <v>3512</v>
      </c>
      <c r="AE815" s="179" t="s">
        <v>1374</v>
      </c>
      <c r="AF815" s="1"/>
    </row>
    <row r="816" spans="1:32" s="1" customFormat="1" ht="66">
      <c r="A816" s="852"/>
      <c r="B816" s="713" t="s">
        <v>48</v>
      </c>
      <c r="C816" s="466" t="s">
        <v>125</v>
      </c>
      <c r="D816" s="554" t="s">
        <v>60</v>
      </c>
      <c r="E816" s="554"/>
      <c r="F816" s="554"/>
      <c r="G816" s="554"/>
      <c r="H816" s="466" t="s">
        <v>127</v>
      </c>
      <c r="I816" s="474" t="s">
        <v>34</v>
      </c>
      <c r="J816" s="1024" t="s">
        <v>2097</v>
      </c>
      <c r="K816" s="467"/>
      <c r="L816" s="470">
        <v>44025</v>
      </c>
      <c r="M816" s="470"/>
      <c r="N816" s="470"/>
      <c r="O816" s="470">
        <v>44080</v>
      </c>
      <c r="P816" s="471" t="s">
        <v>125</v>
      </c>
      <c r="Q816" s="471" t="s">
        <v>125</v>
      </c>
      <c r="R816" s="542">
        <v>137015.24079151999</v>
      </c>
      <c r="S816" s="470" t="s">
        <v>158</v>
      </c>
      <c r="T816" s="803" t="s">
        <v>36</v>
      </c>
      <c r="U816" s="466" t="s">
        <v>125</v>
      </c>
      <c r="V816" s="466"/>
      <c r="W816" s="486" t="s">
        <v>2098</v>
      </c>
      <c r="X816" s="114"/>
      <c r="Y816" s="114"/>
      <c r="Z816" s="114"/>
      <c r="AA816" s="114"/>
      <c r="AB816" s="114"/>
      <c r="AC816" s="114"/>
      <c r="AD816"/>
      <c r="AE816" s="180"/>
      <c r="AF816" s="3"/>
    </row>
    <row r="817" spans="1:51" s="1" customFormat="1" ht="66">
      <c r="A817" s="852"/>
      <c r="B817" s="713" t="s">
        <v>48</v>
      </c>
      <c r="C817" s="466" t="s">
        <v>125</v>
      </c>
      <c r="D817" s="554" t="s">
        <v>60</v>
      </c>
      <c r="E817" s="554"/>
      <c r="F817" s="554"/>
      <c r="G817" s="554"/>
      <c r="H817" s="466" t="s">
        <v>127</v>
      </c>
      <c r="I817" s="474" t="s">
        <v>34</v>
      </c>
      <c r="J817" s="1024" t="s">
        <v>2161</v>
      </c>
      <c r="K817" s="467"/>
      <c r="L817" s="467"/>
      <c r="M817" s="466">
        <v>3</v>
      </c>
      <c r="N817" s="469" t="str">
        <f>IFERROR(EDATE(#REF!,-3),"Invalid procurement method or date entered")</f>
        <v>Invalid procurement method or date entered</v>
      </c>
      <c r="O817" s="470">
        <v>44080</v>
      </c>
      <c r="P817" s="471" t="s">
        <v>125</v>
      </c>
      <c r="Q817" s="761" t="s">
        <v>125</v>
      </c>
      <c r="R817" s="483">
        <v>153299.04</v>
      </c>
      <c r="S817" s="792" t="s">
        <v>129</v>
      </c>
      <c r="T817" s="803" t="s">
        <v>36</v>
      </c>
      <c r="U817" s="466" t="s">
        <v>125</v>
      </c>
      <c r="V817" s="466"/>
      <c r="W817" s="486" t="s">
        <v>2162</v>
      </c>
      <c r="X817" s="114"/>
      <c r="Y817" s="114"/>
      <c r="Z817" s="114"/>
      <c r="AA817" s="114"/>
      <c r="AB817" s="114"/>
      <c r="AC817" s="114"/>
      <c r="AD817"/>
      <c r="AE817" s="180"/>
    </row>
    <row r="818" spans="1:51" s="285" customFormat="1" ht="86.4">
      <c r="A818" s="888"/>
      <c r="B818" s="57"/>
      <c r="C818" s="4" t="s">
        <v>455</v>
      </c>
      <c r="D818" s="31" t="s">
        <v>60</v>
      </c>
      <c r="E818" s="31"/>
      <c r="F818" s="31"/>
      <c r="G818" s="31"/>
      <c r="H818" s="5" t="s">
        <v>63</v>
      </c>
      <c r="I818" s="5" t="s">
        <v>34</v>
      </c>
      <c r="J818" s="16" t="s">
        <v>3682</v>
      </c>
      <c r="K818" s="16"/>
      <c r="L818" s="16"/>
      <c r="M818" s="176">
        <v>43647</v>
      </c>
      <c r="N818" s="176"/>
      <c r="O818" s="176">
        <v>44081</v>
      </c>
      <c r="P818" s="5">
        <v>60</v>
      </c>
      <c r="Q818" s="26" t="s">
        <v>358</v>
      </c>
      <c r="R818" s="18">
        <v>198500</v>
      </c>
      <c r="S818" s="5" t="s">
        <v>98</v>
      </c>
      <c r="T818" s="162" t="s">
        <v>36</v>
      </c>
      <c r="U818" s="44" t="s">
        <v>37</v>
      </c>
      <c r="V818" s="44"/>
      <c r="W818" s="5" t="s">
        <v>3683</v>
      </c>
      <c r="X818" s="5" t="s">
        <v>1091</v>
      </c>
      <c r="Y818" s="5" t="s">
        <v>457</v>
      </c>
      <c r="Z818" s="5"/>
      <c r="AA818" s="26"/>
      <c r="AB818" s="42" t="s">
        <v>3429</v>
      </c>
      <c r="AC818" s="8" t="s">
        <v>3238</v>
      </c>
      <c r="AD818" s="70" t="s">
        <v>3577</v>
      </c>
      <c r="AE818" s="214" t="s">
        <v>3684</v>
      </c>
      <c r="AF818"/>
      <c r="AG818" s="1462"/>
      <c r="AH818" s="1462"/>
      <c r="AI818" s="1462"/>
      <c r="AJ818" s="1462"/>
      <c r="AK818" s="1462"/>
      <c r="AL818" s="1462"/>
      <c r="AM818" s="1462"/>
      <c r="AN818" s="1462"/>
      <c r="AO818" s="1462"/>
      <c r="AP818" s="1462"/>
      <c r="AQ818" s="1462"/>
      <c r="AR818" s="1462"/>
      <c r="AS818" s="1462"/>
      <c r="AT818" s="1462"/>
      <c r="AU818" s="1462"/>
      <c r="AV818" s="1462"/>
      <c r="AW818" s="1462"/>
      <c r="AX818" s="1462"/>
      <c r="AY818" s="1462"/>
    </row>
    <row r="819" spans="1:51" s="282" customFormat="1" ht="100.8">
      <c r="A819" s="888"/>
      <c r="B819" s="57"/>
      <c r="C819" s="4" t="s">
        <v>3685</v>
      </c>
      <c r="D819" s="31" t="s">
        <v>60</v>
      </c>
      <c r="E819" s="31"/>
      <c r="F819" s="31"/>
      <c r="G819" s="31"/>
      <c r="H819" s="1335" t="s">
        <v>63</v>
      </c>
      <c r="I819" s="1330" t="s">
        <v>64</v>
      </c>
      <c r="J819" s="16" t="s">
        <v>3686</v>
      </c>
      <c r="K819" s="8"/>
      <c r="L819" s="8"/>
      <c r="M819" s="14">
        <v>43800</v>
      </c>
      <c r="N819" s="14"/>
      <c r="O819" s="14">
        <v>44081</v>
      </c>
      <c r="P819" s="12">
        <v>60</v>
      </c>
      <c r="Q819" s="27" t="s">
        <v>3346</v>
      </c>
      <c r="R819" s="39">
        <v>15032498.4</v>
      </c>
      <c r="S819" s="1338" t="s">
        <v>66</v>
      </c>
      <c r="T819" s="1463" t="s">
        <v>41</v>
      </c>
      <c r="U819" s="1464" t="s">
        <v>35</v>
      </c>
      <c r="V819" s="1464"/>
      <c r="W819" s="1330" t="s">
        <v>67</v>
      </c>
      <c r="X819" s="1335" t="s">
        <v>1091</v>
      </c>
      <c r="Y819" s="5" t="s">
        <v>457</v>
      </c>
      <c r="Z819" s="5"/>
      <c r="AA819" s="1330"/>
      <c r="AB819" s="193" t="s">
        <v>3429</v>
      </c>
      <c r="AC819" s="52" t="s">
        <v>3687</v>
      </c>
      <c r="AD819" s="70" t="s">
        <v>63</v>
      </c>
      <c r="AE819" s="243">
        <v>2505416.4</v>
      </c>
      <c r="AF819"/>
      <c r="AG819" s="1360"/>
      <c r="AH819" s="1360"/>
      <c r="AI819" s="1360"/>
      <c r="AJ819" s="1360"/>
      <c r="AK819" s="1360"/>
      <c r="AL819" s="1360"/>
      <c r="AM819" s="1360"/>
      <c r="AN819" s="1360"/>
      <c r="AO819" s="1360"/>
      <c r="AP819" s="1360"/>
      <c r="AQ819" s="1360"/>
      <c r="AR819" s="1360"/>
      <c r="AS819" s="1360"/>
      <c r="AT819" s="1360"/>
      <c r="AU819" s="1360"/>
      <c r="AV819" s="1360"/>
      <c r="AW819" s="1360"/>
      <c r="AX819" s="1360"/>
      <c r="AY819" s="1360"/>
    </row>
    <row r="820" spans="1:51" s="1" customFormat="1" ht="57.6">
      <c r="A820" s="852"/>
      <c r="B820" s="57"/>
      <c r="C820" s="4" t="s">
        <v>3688</v>
      </c>
      <c r="D820" s="31" t="s">
        <v>60</v>
      </c>
      <c r="E820" s="31"/>
      <c r="F820" s="31"/>
      <c r="G820" s="31"/>
      <c r="H820" s="5" t="s">
        <v>171</v>
      </c>
      <c r="I820" s="5" t="s">
        <v>34</v>
      </c>
      <c r="J820" s="16" t="s">
        <v>3689</v>
      </c>
      <c r="K820" s="8"/>
      <c r="L820" s="8"/>
      <c r="M820" s="193">
        <v>43831</v>
      </c>
      <c r="N820" s="193"/>
      <c r="O820" s="193">
        <v>44095</v>
      </c>
      <c r="P820" s="5">
        <v>4</v>
      </c>
      <c r="Q820" s="5">
        <v>4</v>
      </c>
      <c r="R820" s="19">
        <v>25200</v>
      </c>
      <c r="S820" s="5" t="s">
        <v>217</v>
      </c>
      <c r="T820" s="26" t="s">
        <v>54</v>
      </c>
      <c r="U820" s="12" t="s">
        <v>37</v>
      </c>
      <c r="V820" s="12"/>
      <c r="W820" s="5" t="s">
        <v>1050</v>
      </c>
      <c r="X820" s="5" t="s">
        <v>1091</v>
      </c>
      <c r="Y820" s="5" t="s">
        <v>457</v>
      </c>
      <c r="Z820" s="5"/>
      <c r="AA820" s="5"/>
      <c r="AB820" s="193" t="s">
        <v>3429</v>
      </c>
      <c r="AC820" s="8" t="s">
        <v>3690</v>
      </c>
      <c r="AD820" s="70" t="s">
        <v>171</v>
      </c>
      <c r="AE820" s="158" t="s">
        <v>3691</v>
      </c>
    </row>
    <row r="821" spans="1:51" s="1" customFormat="1" ht="156">
      <c r="A821" s="895"/>
      <c r="B821" s="420" t="s">
        <v>145</v>
      </c>
      <c r="C821" s="323"/>
      <c r="D821" s="112" t="s">
        <v>92</v>
      </c>
      <c r="E821" s="112"/>
      <c r="F821" s="112"/>
      <c r="G821" s="112"/>
      <c r="H821" s="8" t="s">
        <v>148</v>
      </c>
      <c r="I821" s="8" t="s">
        <v>64</v>
      </c>
      <c r="J821" s="16" t="s">
        <v>3692</v>
      </c>
      <c r="K821" s="8"/>
      <c r="L821" s="8"/>
      <c r="M821" s="328">
        <v>43831</v>
      </c>
      <c r="N821" s="8"/>
      <c r="O821" s="328">
        <v>44099</v>
      </c>
      <c r="P821" s="43">
        <v>36</v>
      </c>
      <c r="Q821" s="229">
        <v>3</v>
      </c>
      <c r="R821" s="153">
        <v>150000</v>
      </c>
      <c r="S821" s="347" t="s">
        <v>607</v>
      </c>
      <c r="T821" s="350" t="s">
        <v>54</v>
      </c>
      <c r="U821" s="326" t="s">
        <v>43</v>
      </c>
      <c r="V821" s="326"/>
      <c r="W821" s="8" t="s">
        <v>1302</v>
      </c>
      <c r="X821" s="8" t="s">
        <v>150</v>
      </c>
      <c r="Y821" s="8" t="s">
        <v>39</v>
      </c>
      <c r="Z821" s="8"/>
      <c r="AA821" s="154"/>
      <c r="AB821" s="171">
        <v>44131</v>
      </c>
      <c r="AC821" s="386" t="s">
        <v>3693</v>
      </c>
      <c r="AD821" s="387"/>
      <c r="AE821" s="457"/>
    </row>
    <row r="822" spans="1:51" s="34" customFormat="1" ht="57.6" customHeight="1">
      <c r="A822" s="889"/>
      <c r="B822" s="303"/>
      <c r="C822" s="4" t="s">
        <v>1099</v>
      </c>
      <c r="D822" s="9" t="s">
        <v>29</v>
      </c>
      <c r="E822" s="9"/>
      <c r="F822" s="9"/>
      <c r="G822" s="9"/>
      <c r="H822" s="5" t="s">
        <v>70</v>
      </c>
      <c r="I822" s="5" t="s">
        <v>64</v>
      </c>
      <c r="J822" s="16" t="s">
        <v>539</v>
      </c>
      <c r="K822" s="16"/>
      <c r="L822" s="16"/>
      <c r="M822" s="176">
        <v>43718</v>
      </c>
      <c r="N822" s="176"/>
      <c r="O822" s="176">
        <v>44100</v>
      </c>
      <c r="P822" s="12">
        <v>36</v>
      </c>
      <c r="Q822" s="7" t="s">
        <v>3694</v>
      </c>
      <c r="R822" s="18">
        <v>993867</v>
      </c>
      <c r="S822" s="5" t="s">
        <v>66</v>
      </c>
      <c r="T822" s="165" t="s">
        <v>41</v>
      </c>
      <c r="U822" s="48" t="s">
        <v>35</v>
      </c>
      <c r="V822" s="48"/>
      <c r="W822" s="5" t="s">
        <v>541</v>
      </c>
      <c r="X822" s="5" t="s">
        <v>1088</v>
      </c>
      <c r="Y822" s="5" t="s">
        <v>457</v>
      </c>
      <c r="Z822" s="5"/>
      <c r="AA822" s="5"/>
      <c r="AB822" s="193" t="s">
        <v>3429</v>
      </c>
      <c r="AC822" s="32" t="s">
        <v>3695</v>
      </c>
      <c r="AD822" s="70" t="s">
        <v>1244</v>
      </c>
      <c r="AE822" s="215">
        <v>331289</v>
      </c>
      <c r="AF822" s="1"/>
    </row>
    <row r="823" spans="1:51" s="34" customFormat="1" ht="101.1" customHeight="1">
      <c r="A823" s="889"/>
      <c r="B823" s="141"/>
      <c r="C823" s="1351" t="s">
        <v>3696</v>
      </c>
      <c r="D823" s="1351" t="s">
        <v>29</v>
      </c>
      <c r="E823" s="1351"/>
      <c r="F823" s="1351"/>
      <c r="G823" s="1351"/>
      <c r="H823" s="1351" t="s">
        <v>364</v>
      </c>
      <c r="I823" s="1330" t="s">
        <v>34</v>
      </c>
      <c r="J823" s="1351" t="s">
        <v>3697</v>
      </c>
      <c r="K823" s="1351"/>
      <c r="L823" s="1351"/>
      <c r="M823" s="1329">
        <v>44068</v>
      </c>
      <c r="N823" s="1329"/>
      <c r="O823" s="1329">
        <v>44102</v>
      </c>
      <c r="P823" s="1330">
        <v>36</v>
      </c>
      <c r="Q823" s="1330" t="s">
        <v>318</v>
      </c>
      <c r="R823" s="1353">
        <v>25000</v>
      </c>
      <c r="S823" s="1335" t="s">
        <v>3670</v>
      </c>
      <c r="T823" s="1352" t="s">
        <v>54</v>
      </c>
      <c r="U823" s="1330" t="s">
        <v>37</v>
      </c>
      <c r="V823" s="1330"/>
      <c r="W823" s="1330" t="s">
        <v>1309</v>
      </c>
      <c r="X823" s="1330" t="s">
        <v>94</v>
      </c>
      <c r="Y823" s="1330" t="s">
        <v>457</v>
      </c>
      <c r="Z823" s="1330"/>
      <c r="AA823" s="1330"/>
      <c r="AB823" s="193" t="s">
        <v>3429</v>
      </c>
      <c r="AC823" s="1354" t="s">
        <v>3671</v>
      </c>
      <c r="AD823" s="1356" t="s">
        <v>1330</v>
      </c>
      <c r="AE823" s="1352"/>
      <c r="AF823" s="1"/>
    </row>
    <row r="824" spans="1:51" s="1" customFormat="1" ht="66">
      <c r="A824" s="852"/>
      <c r="B824" s="713" t="s">
        <v>48</v>
      </c>
      <c r="C824" s="466" t="s">
        <v>2133</v>
      </c>
      <c r="D824" s="554" t="s">
        <v>60</v>
      </c>
      <c r="E824" s="554"/>
      <c r="F824" s="554"/>
      <c r="G824" s="554"/>
      <c r="H824" s="466" t="s">
        <v>127</v>
      </c>
      <c r="I824" s="474" t="s">
        <v>34</v>
      </c>
      <c r="J824" s="549" t="s">
        <v>2134</v>
      </c>
      <c r="K824" s="484"/>
      <c r="L824" s="470">
        <v>44029</v>
      </c>
      <c r="M824" s="470"/>
      <c r="N824" s="470"/>
      <c r="O824" s="470">
        <v>44102</v>
      </c>
      <c r="P824" s="471">
        <v>2</v>
      </c>
      <c r="Q824" s="471">
        <v>2</v>
      </c>
      <c r="R824" s="483">
        <v>184711.136</v>
      </c>
      <c r="S824" s="470" t="s">
        <v>158</v>
      </c>
      <c r="T824" s="803" t="s">
        <v>36</v>
      </c>
      <c r="U824" s="466" t="s">
        <v>125</v>
      </c>
      <c r="V824" s="466"/>
      <c r="W824" s="486" t="s">
        <v>2075</v>
      </c>
      <c r="X824" s="114"/>
      <c r="Y824" s="114"/>
      <c r="Z824" s="114"/>
      <c r="AA824" s="180"/>
      <c r="AB824" s="180"/>
      <c r="AC824" s="114"/>
      <c r="AD824"/>
      <c r="AE824" s="180"/>
    </row>
    <row r="825" spans="1:51" s="1" customFormat="1" ht="43.35" customHeight="1">
      <c r="A825" s="888"/>
      <c r="B825" s="57"/>
      <c r="C825" s="4" t="s">
        <v>35</v>
      </c>
      <c r="D825" s="31" t="s">
        <v>29</v>
      </c>
      <c r="E825" s="31"/>
      <c r="F825" s="31"/>
      <c r="G825" s="31"/>
      <c r="H825" s="5" t="s">
        <v>70</v>
      </c>
      <c r="I825" s="5" t="s">
        <v>34</v>
      </c>
      <c r="J825" s="16" t="s">
        <v>1219</v>
      </c>
      <c r="K825" s="16"/>
      <c r="L825" s="5" t="e">
        <f>IF(OR(S825=#REF!,S825=#REF!,S825=#REF!,S825=#REF!,S825=#REF!,S825=#REF!,S825=#REF!,S825=#REF!),12,IF(OR(S825=#REF!,S825=#REF!,S825=#REF!,S825=#REF!,S825=#REF!,S825=#REF!,S825=#REF!),3,IF(S825=#REF!,1,IF(S825=#REF!,18,IF(OR(S825=#REF!,S825=#REF!,S825=#REF!,S825=#REF!,S825=#REF!),14,"Invalid proposed procurement method")))))</f>
        <v>#REF!</v>
      </c>
      <c r="M825" s="193" t="str">
        <f>IFERROR(EDATE($N825,-3),"Invalid procurement method or date entered")</f>
        <v>Invalid procurement method or date entered</v>
      </c>
      <c r="N825" s="193" t="str">
        <f>IFERROR(EDATE(O825,-L825),"Invalid procurement method or date entered")</f>
        <v>Invalid procurement method or date entered</v>
      </c>
      <c r="O825" s="176">
        <v>44105</v>
      </c>
      <c r="P825" s="12">
        <v>12</v>
      </c>
      <c r="Q825" s="13" t="s">
        <v>108</v>
      </c>
      <c r="R825" s="39">
        <v>1600</v>
      </c>
      <c r="S825" s="5" t="s">
        <v>35</v>
      </c>
      <c r="T825" s="26" t="s">
        <v>54</v>
      </c>
      <c r="U825" s="46" t="s">
        <v>37</v>
      </c>
      <c r="V825" s="46"/>
      <c r="W825" s="5" t="s">
        <v>1220</v>
      </c>
      <c r="X825" s="5" t="s">
        <v>73</v>
      </c>
      <c r="Y825" s="5" t="s">
        <v>59</v>
      </c>
      <c r="Z825" s="5"/>
      <c r="AA825" s="26" t="s">
        <v>54</v>
      </c>
      <c r="AB825" s="42" t="s">
        <v>1250</v>
      </c>
      <c r="AC825" s="8" t="s">
        <v>3698</v>
      </c>
      <c r="AD825" s="70" t="s">
        <v>96</v>
      </c>
      <c r="AE825" s="215"/>
    </row>
    <row r="826" spans="1:51" s="34" customFormat="1" ht="72">
      <c r="A826" s="889"/>
      <c r="B826" s="57"/>
      <c r="C826" s="4" t="s">
        <v>35</v>
      </c>
      <c r="D826" s="31" t="s">
        <v>29</v>
      </c>
      <c r="E826" s="31"/>
      <c r="F826" s="31"/>
      <c r="G826" s="31"/>
      <c r="H826" s="1335" t="s">
        <v>70</v>
      </c>
      <c r="I826" s="1330" t="s">
        <v>64</v>
      </c>
      <c r="J826" s="1339" t="s">
        <v>1137</v>
      </c>
      <c r="K826" s="1339"/>
      <c r="L826" s="5" t="e">
        <f>IF(OR(S826=#REF!,S826=#REF!,S826=#REF!,S826=#REF!,S826=#REF!,S826=#REF!,S826=#REF!,S826=#REF!),12,IF(OR(S826=#REF!,S826=#REF!,S826=#REF!,S826=#REF!,S826=#REF!,S826=#REF!,S826=#REF!),3,IF(S826=#REF!,1,IF(S826=#REF!,18,IF(OR(S826=#REF!,S826=#REF!,S826=#REF!,S826=#REF!,S826=#REF!),14,"Invalid proposed procurement method")))))</f>
        <v>#REF!</v>
      </c>
      <c r="M826" s="193" t="str">
        <f>IFERROR(EDATE($N826,-3),"Invalid procurement method or date entered")</f>
        <v>Invalid procurement method or date entered</v>
      </c>
      <c r="N826" s="193" t="str">
        <f>IFERROR(EDATE(O826,-L826),"Invalid procurement method or date entered")</f>
        <v>Invalid procurement method or date entered</v>
      </c>
      <c r="O826" s="140">
        <v>44105</v>
      </c>
      <c r="P826" s="1330">
        <v>60</v>
      </c>
      <c r="Q826" s="1335" t="s">
        <v>3699</v>
      </c>
      <c r="R826" s="39">
        <v>7500</v>
      </c>
      <c r="S826" s="5" t="s">
        <v>66</v>
      </c>
      <c r="T826" s="1332" t="s">
        <v>54</v>
      </c>
      <c r="U826" s="208" t="s">
        <v>37</v>
      </c>
      <c r="V826" s="208"/>
      <c r="W826" s="1330" t="s">
        <v>2987</v>
      </c>
      <c r="X826" s="5" t="s">
        <v>73</v>
      </c>
      <c r="Y826" s="5" t="s">
        <v>59</v>
      </c>
      <c r="Z826" s="5"/>
      <c r="AA826" s="1330" t="s">
        <v>54</v>
      </c>
      <c r="AB826" s="193" t="s">
        <v>1250</v>
      </c>
      <c r="AC826" s="32" t="s">
        <v>3700</v>
      </c>
      <c r="AD826" s="74" t="s">
        <v>85</v>
      </c>
      <c r="AE826" s="1442"/>
      <c r="AF826" s="1"/>
    </row>
    <row r="827" spans="1:51" s="1" customFormat="1" ht="43.2">
      <c r="A827" s="852"/>
      <c r="B827" s="57"/>
      <c r="C827" s="4" t="s">
        <v>1310</v>
      </c>
      <c r="D827" s="30" t="s">
        <v>29</v>
      </c>
      <c r="E827" s="30"/>
      <c r="F827" s="30"/>
      <c r="G827" s="30"/>
      <c r="H827" s="43" t="s">
        <v>70</v>
      </c>
      <c r="I827" s="43" t="s">
        <v>64</v>
      </c>
      <c r="J827" s="64" t="s">
        <v>1093</v>
      </c>
      <c r="K827" s="64"/>
      <c r="L827" s="64"/>
      <c r="M827" s="193">
        <v>43922</v>
      </c>
      <c r="N827" s="193"/>
      <c r="O827" s="176">
        <v>44105</v>
      </c>
      <c r="P827" s="43">
        <v>24</v>
      </c>
      <c r="Q827" s="43" t="s">
        <v>1243</v>
      </c>
      <c r="R827" s="18">
        <v>4500</v>
      </c>
      <c r="S827" s="201" t="s">
        <v>66</v>
      </c>
      <c r="T827" s="65" t="s">
        <v>54</v>
      </c>
      <c r="U827" s="66" t="s">
        <v>37</v>
      </c>
      <c r="V827" s="66"/>
      <c r="W827" s="43" t="s">
        <v>1022</v>
      </c>
      <c r="X827" s="5" t="s">
        <v>1088</v>
      </c>
      <c r="Y827" s="5" t="s">
        <v>59</v>
      </c>
      <c r="Z827" s="5"/>
      <c r="AA827" s="64"/>
      <c r="AB827" s="193" t="s">
        <v>3429</v>
      </c>
      <c r="AC827" s="54" t="s">
        <v>3701</v>
      </c>
      <c r="AD827" s="70" t="s">
        <v>1244</v>
      </c>
      <c r="AE827" s="229"/>
    </row>
    <row r="828" spans="1:51" s="1" customFormat="1" ht="43.2">
      <c r="A828" s="889"/>
      <c r="B828" s="57"/>
      <c r="C828" s="4" t="s">
        <v>1310</v>
      </c>
      <c r="D828" s="30" t="s">
        <v>29</v>
      </c>
      <c r="E828" s="30"/>
      <c r="F828" s="30"/>
      <c r="G828" s="30"/>
      <c r="H828" s="1335" t="s">
        <v>70</v>
      </c>
      <c r="I828" s="1335" t="s">
        <v>64</v>
      </c>
      <c r="J828" s="1339" t="s">
        <v>1311</v>
      </c>
      <c r="K828" s="1339"/>
      <c r="L828" s="1339"/>
      <c r="M828" s="193">
        <v>43922</v>
      </c>
      <c r="N828" s="193"/>
      <c r="O828" s="176">
        <v>44105</v>
      </c>
      <c r="P828" s="1335">
        <v>24</v>
      </c>
      <c r="Q828" s="1332" t="s">
        <v>1243</v>
      </c>
      <c r="R828" s="18">
        <v>13000</v>
      </c>
      <c r="S828" s="1338" t="s">
        <v>66</v>
      </c>
      <c r="T828" s="1332" t="s">
        <v>54</v>
      </c>
      <c r="U828" s="1330" t="s">
        <v>37</v>
      </c>
      <c r="V828" s="1330"/>
      <c r="W828" s="1335" t="s">
        <v>1022</v>
      </c>
      <c r="X828" s="5" t="s">
        <v>1088</v>
      </c>
      <c r="Y828" s="5" t="s">
        <v>59</v>
      </c>
      <c r="Z828" s="5"/>
      <c r="AA828" s="1339"/>
      <c r="AB828" s="193" t="s">
        <v>3429</v>
      </c>
      <c r="AC828" s="1327" t="s">
        <v>3701</v>
      </c>
      <c r="AD828" s="70" t="s">
        <v>1244</v>
      </c>
      <c r="AE828" s="1450"/>
    </row>
    <row r="829" spans="1:51" s="1" customFormat="1" ht="72" customHeight="1">
      <c r="A829" s="889"/>
      <c r="B829" s="57"/>
      <c r="C829" s="1351" t="s">
        <v>3702</v>
      </c>
      <c r="D829" s="1355" t="s">
        <v>29</v>
      </c>
      <c r="E829" s="1355"/>
      <c r="F829" s="1355"/>
      <c r="G829" s="1355"/>
      <c r="H829" s="1330" t="s">
        <v>364</v>
      </c>
      <c r="I829" s="1330" t="s">
        <v>34</v>
      </c>
      <c r="J829" s="1351" t="s">
        <v>3703</v>
      </c>
      <c r="K829" s="1351"/>
      <c r="L829" s="5" t="e">
        <f>IF(OR(S829=#REF!,S829=#REF!,S829=#REF!,S829=#REF!,S829=#REF!,S829=#REF!,S829=#REF!,S829=#REF!),12,IF(OR(S829=#REF!,S829=#REF!,S829=#REF!,S829=#REF!,S829=#REF!,S829=#REF!,S829=#REF!),3,IF(S829=#REF!,1,IF(S829=#REF!,18,IF(OR(S829=#REF!,S829=#REF!,S829=#REF!,S829=#REF!,S829=#REF!),14,"Invalid proposed procurement method")))))</f>
        <v>#REF!</v>
      </c>
      <c r="M829" s="193" t="str">
        <f>IFERROR(EDATE($N829,-3),"Invalid procurement method or date entered")</f>
        <v>Invalid procurement method or date entered</v>
      </c>
      <c r="N829" s="193" t="str">
        <f>IFERROR(EDATE(O829,-L829),"Invalid procurement method or date entered")</f>
        <v>Invalid procurement method or date entered</v>
      </c>
      <c r="O829" s="1329">
        <v>44105</v>
      </c>
      <c r="P829" s="1330">
        <v>36</v>
      </c>
      <c r="Q829" s="1330">
        <v>36</v>
      </c>
      <c r="R829" s="1353">
        <v>92000</v>
      </c>
      <c r="S829" s="1335" t="s">
        <v>217</v>
      </c>
      <c r="T829" s="1352" t="s">
        <v>54</v>
      </c>
      <c r="U829" s="1330" t="s">
        <v>37</v>
      </c>
      <c r="V829" s="1330"/>
      <c r="W829" s="1330" t="s">
        <v>1309</v>
      </c>
      <c r="X829" s="1330" t="s">
        <v>94</v>
      </c>
      <c r="Y829" s="1330" t="s">
        <v>457</v>
      </c>
      <c r="Z829" s="1330"/>
      <c r="AA829" s="1330" t="s">
        <v>41</v>
      </c>
      <c r="AB829" s="193" t="s">
        <v>1250</v>
      </c>
      <c r="AC829" s="1354" t="s">
        <v>3448</v>
      </c>
      <c r="AD829" s="1356" t="s">
        <v>1330</v>
      </c>
      <c r="AE829" s="1352"/>
    </row>
    <row r="830" spans="1:51" s="1" customFormat="1" ht="29.1" customHeight="1">
      <c r="A830" s="852"/>
      <c r="B830" s="141"/>
      <c r="C830" s="1351" t="s">
        <v>3704</v>
      </c>
      <c r="D830" s="1350" t="s">
        <v>29</v>
      </c>
      <c r="E830" s="1350"/>
      <c r="F830" s="1350"/>
      <c r="G830" s="1350"/>
      <c r="H830" s="1351" t="s">
        <v>364</v>
      </c>
      <c r="I830" s="1330" t="s">
        <v>34</v>
      </c>
      <c r="J830" s="1351" t="s">
        <v>3705</v>
      </c>
      <c r="K830" s="1351"/>
      <c r="L830" s="1351"/>
      <c r="M830" s="1329">
        <v>43983</v>
      </c>
      <c r="N830" s="1329"/>
      <c r="O830" s="1329">
        <v>44105</v>
      </c>
      <c r="P830" s="1330">
        <v>48</v>
      </c>
      <c r="Q830" s="1352" t="s">
        <v>3244</v>
      </c>
      <c r="R830" s="1353">
        <v>156000</v>
      </c>
      <c r="S830" s="1338" t="s">
        <v>3670</v>
      </c>
      <c r="T830" s="1352" t="s">
        <v>54</v>
      </c>
      <c r="U830" s="1330" t="s">
        <v>37</v>
      </c>
      <c r="V830" s="1330"/>
      <c r="W830" s="1330" t="s">
        <v>1309</v>
      </c>
      <c r="X830" s="1330" t="s">
        <v>94</v>
      </c>
      <c r="Y830" s="1330" t="s">
        <v>457</v>
      </c>
      <c r="Z830" s="1330"/>
      <c r="AA830" s="1330"/>
      <c r="AB830" s="193" t="s">
        <v>3429</v>
      </c>
      <c r="AC830" s="1354" t="s">
        <v>3671</v>
      </c>
      <c r="AD830" s="1356" t="s">
        <v>1330</v>
      </c>
      <c r="AE830" s="1352"/>
      <c r="AF830"/>
    </row>
    <row r="831" spans="1:51" s="1" customFormat="1" ht="29.1" customHeight="1">
      <c r="A831" s="888"/>
      <c r="B831" s="303"/>
      <c r="C831" s="5" t="s">
        <v>43</v>
      </c>
      <c r="D831" s="30" t="s">
        <v>29</v>
      </c>
      <c r="E831" s="30"/>
      <c r="F831" s="30"/>
      <c r="G831" s="30"/>
      <c r="H831" s="5" t="s">
        <v>76</v>
      </c>
      <c r="I831" s="193" t="s">
        <v>34</v>
      </c>
      <c r="J831" s="118" t="s">
        <v>3706</v>
      </c>
      <c r="K831" s="193"/>
      <c r="L831" s="5">
        <v>12</v>
      </c>
      <c r="M831" s="193">
        <v>44105</v>
      </c>
      <c r="N831" s="5">
        <v>36</v>
      </c>
      <c r="O831" s="39">
        <v>44105</v>
      </c>
      <c r="P831" s="5" t="s">
        <v>3707</v>
      </c>
      <c r="Q831" s="165" t="s">
        <v>36</v>
      </c>
      <c r="R831" s="48" t="s">
        <v>37</v>
      </c>
      <c r="S831" s="112" t="s">
        <v>3708</v>
      </c>
      <c r="T831" s="26" t="s">
        <v>3709</v>
      </c>
      <c r="U831" s="5" t="s">
        <v>54</v>
      </c>
      <c r="V831" s="5"/>
      <c r="W831" s="5" t="s">
        <v>931</v>
      </c>
      <c r="X831" s="5" t="s">
        <v>94</v>
      </c>
      <c r="Y831" s="193">
        <v>44306</v>
      </c>
      <c r="Z831" s="8"/>
      <c r="AA831" s="12"/>
      <c r="AB831" s="193" t="s">
        <v>1269</v>
      </c>
      <c r="AC831" s="288" t="s">
        <v>3710</v>
      </c>
      <c r="AD831" s="477" t="s">
        <v>171</v>
      </c>
      <c r="AE831" s="866"/>
    </row>
    <row r="832" spans="1:51" s="1" customFormat="1" ht="28.8">
      <c r="A832" s="454"/>
      <c r="B832" s="420" t="s">
        <v>145</v>
      </c>
      <c r="C832" s="401"/>
      <c r="D832" s="731" t="s">
        <v>92</v>
      </c>
      <c r="E832" s="731"/>
      <c r="F832" s="731"/>
      <c r="G832" s="731"/>
      <c r="H832" s="402" t="s">
        <v>148</v>
      </c>
      <c r="I832" s="402" t="s">
        <v>34</v>
      </c>
      <c r="J832" s="1032" t="s">
        <v>766</v>
      </c>
      <c r="K832" s="402"/>
      <c r="L832" s="402"/>
      <c r="M832" s="340">
        <v>42826</v>
      </c>
      <c r="N832" s="402"/>
      <c r="O832" s="340">
        <v>44105</v>
      </c>
      <c r="P832" s="341"/>
      <c r="Q832" s="1171">
        <v>12</v>
      </c>
      <c r="R832" s="403">
        <v>640000</v>
      </c>
      <c r="S832" s="1202" t="s">
        <v>109</v>
      </c>
      <c r="T832" s="302" t="s">
        <v>41</v>
      </c>
      <c r="U832" s="186">
        <v>43563</v>
      </c>
      <c r="V832" s="186"/>
      <c r="W832" s="402" t="s">
        <v>556</v>
      </c>
      <c r="X832" s="402" t="s">
        <v>254</v>
      </c>
      <c r="Y832" s="402" t="s">
        <v>179</v>
      </c>
      <c r="Z832" s="402"/>
      <c r="AA832" s="404">
        <v>2020</v>
      </c>
      <c r="AB832" s="404"/>
      <c r="AC832" s="404" t="s">
        <v>41</v>
      </c>
      <c r="AD832" s="405"/>
      <c r="AE832" s="871"/>
    </row>
    <row r="833" spans="1:32" s="1" customFormat="1" ht="115.2">
      <c r="A833" s="888"/>
      <c r="B833" s="420" t="s">
        <v>145</v>
      </c>
      <c r="C833" s="325"/>
      <c r="D833" s="112" t="s">
        <v>92</v>
      </c>
      <c r="E833" s="112"/>
      <c r="F833" s="112"/>
      <c r="G833" s="112"/>
      <c r="H833" s="8" t="s">
        <v>148</v>
      </c>
      <c r="I833" s="8" t="s">
        <v>34</v>
      </c>
      <c r="J833" s="60" t="s">
        <v>3711</v>
      </c>
      <c r="K833" s="6"/>
      <c r="L833" s="6"/>
      <c r="M833" s="328">
        <v>43497</v>
      </c>
      <c r="N833" s="6"/>
      <c r="O833" s="328">
        <v>44105</v>
      </c>
      <c r="P833" s="329"/>
      <c r="Q833" s="344"/>
      <c r="R833" s="153">
        <v>65000</v>
      </c>
      <c r="S833" s="30" t="s">
        <v>164</v>
      </c>
      <c r="T833" s="302" t="s">
        <v>41</v>
      </c>
      <c r="U833" s="184" t="s">
        <v>35</v>
      </c>
      <c r="V833" s="184"/>
      <c r="W833" s="8" t="s">
        <v>556</v>
      </c>
      <c r="X833" s="8" t="s">
        <v>254</v>
      </c>
      <c r="Y833" s="8" t="s">
        <v>179</v>
      </c>
      <c r="Z833" s="8"/>
      <c r="AA833" s="325"/>
      <c r="AB833" s="171" t="s">
        <v>3712</v>
      </c>
      <c r="AC833" s="386" t="s">
        <v>3713</v>
      </c>
      <c r="AD833" s="387"/>
      <c r="AE833" s="457"/>
    </row>
    <row r="834" spans="1:32" s="1" customFormat="1" ht="216" customHeight="1">
      <c r="A834" s="1465"/>
      <c r="B834" s="420" t="s">
        <v>145</v>
      </c>
      <c r="C834" s="325"/>
      <c r="D834" s="421" t="s">
        <v>92</v>
      </c>
      <c r="E834" s="421"/>
      <c r="F834" s="421"/>
      <c r="G834" s="421"/>
      <c r="H834" s="8" t="s">
        <v>148</v>
      </c>
      <c r="I834" s="8" t="s">
        <v>34</v>
      </c>
      <c r="J834" s="60" t="s">
        <v>3714</v>
      </c>
      <c r="K834" s="6"/>
      <c r="L834" s="6"/>
      <c r="M834" s="328">
        <v>43497</v>
      </c>
      <c r="N834" s="6"/>
      <c r="O834" s="328">
        <v>44105</v>
      </c>
      <c r="P834" s="5"/>
      <c r="Q834" s="7"/>
      <c r="R834" s="153">
        <v>70240</v>
      </c>
      <c r="S834" s="30"/>
      <c r="T834" s="302" t="s">
        <v>41</v>
      </c>
      <c r="U834" s="184" t="s">
        <v>35</v>
      </c>
      <c r="V834" s="184"/>
      <c r="W834" s="8" t="s">
        <v>556</v>
      </c>
      <c r="X834" s="8" t="s">
        <v>254</v>
      </c>
      <c r="Y834" s="8" t="s">
        <v>179</v>
      </c>
      <c r="Z834" s="8"/>
      <c r="AA834" s="323"/>
      <c r="AB834" s="154"/>
      <c r="AC834" s="171">
        <v>44060</v>
      </c>
      <c r="AD834" s="390"/>
      <c r="AE834" s="443"/>
    </row>
    <row r="835" spans="1:32" s="1" customFormat="1" ht="43.35" customHeight="1">
      <c r="A835" s="888"/>
      <c r="B835" s="141" t="s">
        <v>28</v>
      </c>
      <c r="C835" s="4"/>
      <c r="D835" s="31" t="s">
        <v>29</v>
      </c>
      <c r="E835" s="31"/>
      <c r="F835" s="31"/>
      <c r="G835" s="31"/>
      <c r="H835" s="9" t="s">
        <v>70</v>
      </c>
      <c r="I835" s="9" t="s">
        <v>64</v>
      </c>
      <c r="J835" s="16" t="s">
        <v>2981</v>
      </c>
      <c r="K835" s="16"/>
      <c r="L835" s="16"/>
      <c r="M835" s="46">
        <v>43647</v>
      </c>
      <c r="N835" s="46"/>
      <c r="O835" s="46">
        <v>44105</v>
      </c>
      <c r="P835" s="15">
        <v>36</v>
      </c>
      <c r="Q835" s="63" t="s">
        <v>1060</v>
      </c>
      <c r="R835" s="18">
        <v>76552</v>
      </c>
      <c r="S835" s="5" t="s">
        <v>66</v>
      </c>
      <c r="T835" s="161" t="s">
        <v>36</v>
      </c>
      <c r="U835" s="45" t="s">
        <v>37</v>
      </c>
      <c r="V835" s="45"/>
      <c r="W835" s="5" t="s">
        <v>2967</v>
      </c>
      <c r="X835" s="5" t="s">
        <v>1088</v>
      </c>
      <c r="Y835" s="5" t="s">
        <v>457</v>
      </c>
      <c r="Z835" s="5"/>
      <c r="AA835" s="9"/>
      <c r="AB835" s="177">
        <v>43950</v>
      </c>
      <c r="AC835" s="6" t="s">
        <v>3715</v>
      </c>
      <c r="AD835" s="70" t="s">
        <v>3512</v>
      </c>
      <c r="AE835" s="237"/>
    </row>
    <row r="836" spans="1:32" s="1" customFormat="1" ht="57.6">
      <c r="A836" s="888"/>
      <c r="B836" s="57"/>
      <c r="C836" s="4" t="s">
        <v>401</v>
      </c>
      <c r="D836" s="31" t="s">
        <v>29</v>
      </c>
      <c r="E836" s="31"/>
      <c r="F836" s="31"/>
      <c r="G836" s="31"/>
      <c r="H836" s="5" t="s">
        <v>70</v>
      </c>
      <c r="I836" s="5" t="s">
        <v>34</v>
      </c>
      <c r="J836" s="16" t="s">
        <v>402</v>
      </c>
      <c r="K836" s="16"/>
      <c r="L836" s="16"/>
      <c r="M836" s="14">
        <v>43709</v>
      </c>
      <c r="N836" s="14"/>
      <c r="O836" s="176">
        <v>44105</v>
      </c>
      <c r="P836" s="12">
        <v>36</v>
      </c>
      <c r="Q836" s="12">
        <v>36</v>
      </c>
      <c r="R836" s="18">
        <v>140000</v>
      </c>
      <c r="S836" s="5" t="s">
        <v>109</v>
      </c>
      <c r="T836" s="26" t="s">
        <v>36</v>
      </c>
      <c r="U836" s="11" t="s">
        <v>37</v>
      </c>
      <c r="V836" s="11"/>
      <c r="W836" s="5" t="s">
        <v>3716</v>
      </c>
      <c r="X836" s="1335" t="s">
        <v>90</v>
      </c>
      <c r="Y836" s="5" t="s">
        <v>457</v>
      </c>
      <c r="Z836" s="5"/>
      <c r="AA836" s="5"/>
      <c r="AB836" s="193" t="s">
        <v>3429</v>
      </c>
      <c r="AC836" s="8" t="s">
        <v>3717</v>
      </c>
      <c r="AD836" s="70" t="s">
        <v>89</v>
      </c>
      <c r="AE836" s="215">
        <v>45000</v>
      </c>
    </row>
    <row r="837" spans="1:32" s="3" customFormat="1" ht="72">
      <c r="A837" s="888"/>
      <c r="B837" s="141"/>
      <c r="C837" s="4"/>
      <c r="D837" s="31" t="s">
        <v>60</v>
      </c>
      <c r="E837" s="31"/>
      <c r="F837" s="31"/>
      <c r="G837" s="31"/>
      <c r="H837" s="5" t="s">
        <v>260</v>
      </c>
      <c r="I837" s="5" t="s">
        <v>34</v>
      </c>
      <c r="J837" s="16" t="s">
        <v>3718</v>
      </c>
      <c r="K837" s="16"/>
      <c r="L837" s="5" t="e">
        <f>IF(OR(S837=#REF!,S837=#REF!,S837=#REF!,S837=#REF!,S837=#REF!,S837=#REF!,S837=#REF!,S837=#REF!),12,IF(OR(S837=#REF!,S837=#REF!,S837=#REF!,S837=#REF!,S837=#REF!,S837=#REF!,S837=#REF!),3,IF(S837=#REF!,1,IF(S837=#REF!,18,IF(OR(S837=#REF!,S837=#REF!,S837=#REF!,S837=#REF!,S837=#REF!),14,"Invalid proposed procurement method")))))</f>
        <v>#REF!</v>
      </c>
      <c r="M837" s="193" t="str">
        <f>IFERROR(EDATE($N837,-3),"Invalid procurement method or date entered")</f>
        <v>Invalid procurement method or date entered</v>
      </c>
      <c r="N837" s="193" t="str">
        <f>IFERROR(EDATE(O837,-L837),"Invalid procurement method or date entered")</f>
        <v>Invalid procurement method or date entered</v>
      </c>
      <c r="O837" s="176">
        <v>44105</v>
      </c>
      <c r="P837" s="12">
        <v>36</v>
      </c>
      <c r="Q837" s="12">
        <v>36</v>
      </c>
      <c r="R837" s="18">
        <v>4500</v>
      </c>
      <c r="S837" s="5" t="s">
        <v>909</v>
      </c>
      <c r="T837" s="26" t="s">
        <v>54</v>
      </c>
      <c r="U837" s="12" t="s">
        <v>37</v>
      </c>
      <c r="V837" s="12"/>
      <c r="W837" s="43" t="s">
        <v>233</v>
      </c>
      <c r="X837" s="5" t="s">
        <v>90</v>
      </c>
      <c r="Y837" s="5" t="s">
        <v>39</v>
      </c>
      <c r="Z837" s="5"/>
      <c r="AA837" s="5" t="s">
        <v>41</v>
      </c>
      <c r="AB837" s="193" t="s">
        <v>1082</v>
      </c>
      <c r="AC837" s="8" t="s">
        <v>3719</v>
      </c>
      <c r="AD837" s="70" t="s">
        <v>260</v>
      </c>
      <c r="AE837" s="215">
        <v>1500</v>
      </c>
      <c r="AF837" s="1"/>
    </row>
    <row r="838" spans="1:32" s="1" customFormat="1" ht="39.6">
      <c r="A838" s="852"/>
      <c r="B838" s="713" t="s">
        <v>48</v>
      </c>
      <c r="C838" s="465" t="s">
        <v>125</v>
      </c>
      <c r="D838" s="554" t="s">
        <v>29</v>
      </c>
      <c r="E838" s="554"/>
      <c r="F838" s="554"/>
      <c r="G838" s="554"/>
      <c r="H838" s="466" t="s">
        <v>49</v>
      </c>
      <c r="I838" s="474" t="s">
        <v>34</v>
      </c>
      <c r="J838" s="1024" t="s">
        <v>2094</v>
      </c>
      <c r="K838" s="467"/>
      <c r="L838" s="470">
        <v>43952</v>
      </c>
      <c r="M838" s="470"/>
      <c r="N838" s="470"/>
      <c r="O838" s="470">
        <v>44105</v>
      </c>
      <c r="P838" s="471" t="s">
        <v>125</v>
      </c>
      <c r="Q838" s="471" t="s">
        <v>125</v>
      </c>
      <c r="R838" s="542">
        <v>25000</v>
      </c>
      <c r="S838" s="470" t="s">
        <v>909</v>
      </c>
      <c r="T838" s="803" t="s">
        <v>1333</v>
      </c>
      <c r="U838" s="465" t="s">
        <v>43</v>
      </c>
      <c r="V838" s="465"/>
      <c r="W838" s="465" t="s">
        <v>756</v>
      </c>
      <c r="X838" s="114"/>
      <c r="Y838" s="114"/>
      <c r="Z838" s="114"/>
      <c r="AA838" s="114"/>
      <c r="AB838" s="114"/>
      <c r="AC838" s="114"/>
      <c r="AD838"/>
      <c r="AE838" s="180"/>
    </row>
    <row r="839" spans="1:32" s="1" customFormat="1" ht="57.6" customHeight="1">
      <c r="A839" s="852"/>
      <c r="B839" s="713" t="s">
        <v>48</v>
      </c>
      <c r="C839" s="465" t="s">
        <v>2106</v>
      </c>
      <c r="D839" s="554" t="s">
        <v>60</v>
      </c>
      <c r="E839" s="554"/>
      <c r="F839" s="554"/>
      <c r="G839" s="554"/>
      <c r="H839" s="466" t="s">
        <v>127</v>
      </c>
      <c r="I839" s="474" t="s">
        <v>34</v>
      </c>
      <c r="J839" s="1024" t="s">
        <v>496</v>
      </c>
      <c r="K839" s="467"/>
      <c r="L839" s="470">
        <v>43555</v>
      </c>
      <c r="M839" s="470"/>
      <c r="N839" s="470"/>
      <c r="O839" s="470">
        <v>44105</v>
      </c>
      <c r="P839" s="471">
        <v>90</v>
      </c>
      <c r="Q839" s="471" t="s">
        <v>2107</v>
      </c>
      <c r="R839" s="542">
        <v>980000</v>
      </c>
      <c r="S839" s="470" t="s">
        <v>1163</v>
      </c>
      <c r="T839" s="803" t="s">
        <v>144</v>
      </c>
      <c r="U839" s="470" t="s">
        <v>125</v>
      </c>
      <c r="V839" s="470"/>
      <c r="W839" s="474" t="s">
        <v>497</v>
      </c>
      <c r="X839" s="114"/>
      <c r="Y839" s="114"/>
      <c r="Z839" s="114"/>
      <c r="AA839" s="114"/>
      <c r="AB839" s="114"/>
      <c r="AC839" s="114"/>
      <c r="AD839"/>
      <c r="AE839" s="180"/>
    </row>
    <row r="840" spans="1:32" s="3" customFormat="1" ht="43.35" customHeight="1">
      <c r="A840" s="852"/>
      <c r="B840" s="713" t="s">
        <v>48</v>
      </c>
      <c r="C840" s="466" t="s">
        <v>2116</v>
      </c>
      <c r="D840" s="554" t="s">
        <v>60</v>
      </c>
      <c r="E840" s="554"/>
      <c r="F840" s="554"/>
      <c r="G840" s="554"/>
      <c r="H840" s="466" t="s">
        <v>127</v>
      </c>
      <c r="I840" s="474" t="s">
        <v>34</v>
      </c>
      <c r="J840" s="1024" t="s">
        <v>575</v>
      </c>
      <c r="K840" s="467"/>
      <c r="L840" s="470">
        <v>43709</v>
      </c>
      <c r="M840" s="470"/>
      <c r="N840" s="470"/>
      <c r="O840" s="470">
        <v>44105</v>
      </c>
      <c r="P840" s="471">
        <v>48</v>
      </c>
      <c r="Q840" s="761">
        <v>48</v>
      </c>
      <c r="R840" s="483">
        <v>480000</v>
      </c>
      <c r="S840" s="792" t="s">
        <v>98</v>
      </c>
      <c r="T840" s="803" t="s">
        <v>36</v>
      </c>
      <c r="U840" s="470" t="s">
        <v>43</v>
      </c>
      <c r="V840" s="470"/>
      <c r="W840" s="486" t="s">
        <v>511</v>
      </c>
      <c r="X840" s="114"/>
      <c r="Y840" s="114"/>
      <c r="Z840" s="114"/>
      <c r="AA840" s="114"/>
      <c r="AB840" s="114"/>
      <c r="AC840" s="114"/>
      <c r="AD840"/>
      <c r="AE840" s="180"/>
      <c r="AF840" s="1"/>
    </row>
    <row r="841" spans="1:32" s="1" customFormat="1" ht="187.35" customHeight="1">
      <c r="A841" s="888"/>
      <c r="B841" s="420" t="s">
        <v>145</v>
      </c>
      <c r="C841" s="323"/>
      <c r="D841" s="112" t="s">
        <v>82</v>
      </c>
      <c r="E841" s="112"/>
      <c r="F841" s="112"/>
      <c r="G841" s="112"/>
      <c r="H841" s="8" t="s">
        <v>316</v>
      </c>
      <c r="I841" s="8"/>
      <c r="J841" s="16" t="s">
        <v>3720</v>
      </c>
      <c r="K841" s="8"/>
      <c r="L841" s="78">
        <v>3</v>
      </c>
      <c r="M841" s="394">
        <f>IFERROR(EDATE(N841,-3),"Invalid procurement method or date entered")</f>
        <v>43926</v>
      </c>
      <c r="N841" s="346">
        <f>IFERROR(EDATE(O841,-L841),"Invalid procurement method or date entered")</f>
        <v>44017</v>
      </c>
      <c r="O841" s="328">
        <v>44109</v>
      </c>
      <c r="P841" s="329"/>
      <c r="Q841" s="344"/>
      <c r="R841" s="153">
        <v>127000</v>
      </c>
      <c r="S841" s="5" t="s">
        <v>53</v>
      </c>
      <c r="T841" s="350"/>
      <c r="U841" s="348"/>
      <c r="V841" s="348"/>
      <c r="W841" s="8"/>
      <c r="X841" s="8" t="s">
        <v>254</v>
      </c>
      <c r="Y841" s="8"/>
      <c r="Z841" s="8"/>
      <c r="AA841" s="325"/>
      <c r="AB841" s="325"/>
      <c r="AC841" s="171" t="s">
        <v>1266</v>
      </c>
      <c r="AD841" s="390"/>
      <c r="AE841" s="443"/>
    </row>
    <row r="842" spans="1:32" s="1" customFormat="1" ht="15.6">
      <c r="A842" s="1061">
        <v>44974</v>
      </c>
      <c r="B842" s="1020" t="s">
        <v>210</v>
      </c>
      <c r="C842" s="1072" t="s">
        <v>1355</v>
      </c>
      <c r="D842" s="1021" t="s">
        <v>319</v>
      </c>
      <c r="E842" s="1020" t="s">
        <v>210</v>
      </c>
      <c r="F842" s="1020" t="s">
        <v>190</v>
      </c>
      <c r="G842" s="1020" t="s">
        <v>190</v>
      </c>
      <c r="H842" s="1066" t="s">
        <v>190</v>
      </c>
      <c r="I842" s="1066" t="s">
        <v>190</v>
      </c>
      <c r="J842" s="1095" t="s">
        <v>1356</v>
      </c>
      <c r="K842" s="1072" t="s">
        <v>1357</v>
      </c>
      <c r="L842" s="1066" t="s">
        <v>190</v>
      </c>
      <c r="M842" s="1066" t="s">
        <v>190</v>
      </c>
      <c r="N842" s="1066" t="s">
        <v>190</v>
      </c>
      <c r="O842" s="1142">
        <v>44112</v>
      </c>
      <c r="P842" s="1142">
        <v>44476</v>
      </c>
      <c r="Q842" s="1142">
        <v>45206</v>
      </c>
      <c r="R842" s="1176">
        <v>4990</v>
      </c>
      <c r="S842" s="1072" t="s">
        <v>2713</v>
      </c>
      <c r="T842" s="1204" t="s">
        <v>190</v>
      </c>
      <c r="U842" s="1066" t="s">
        <v>190</v>
      </c>
      <c r="V842" s="1066"/>
      <c r="W842" s="1072" t="s">
        <v>322</v>
      </c>
      <c r="X842" s="1072" t="s">
        <v>1346</v>
      </c>
      <c r="Y842" s="1072" t="s">
        <v>1266</v>
      </c>
      <c r="Z842" s="1066" t="s">
        <v>190</v>
      </c>
      <c r="AA842" s="1066" t="s">
        <v>190</v>
      </c>
      <c r="AB842" s="1066" t="s">
        <v>190</v>
      </c>
      <c r="AC842" s="1095" t="s">
        <v>3721</v>
      </c>
      <c r="AD842" s="1068" t="s">
        <v>190</v>
      </c>
      <c r="AE842" s="1254">
        <v>4990</v>
      </c>
      <c r="AF842"/>
    </row>
    <row r="843" spans="1:32" s="1" customFormat="1" ht="57.6">
      <c r="A843" s="888"/>
      <c r="B843" s="57"/>
      <c r="C843" s="4"/>
      <c r="D843" s="31" t="s">
        <v>29</v>
      </c>
      <c r="E843" s="31"/>
      <c r="F843" s="31"/>
      <c r="G843" s="31"/>
      <c r="H843" s="5" t="s">
        <v>70</v>
      </c>
      <c r="I843" s="5" t="s">
        <v>34</v>
      </c>
      <c r="J843" s="16" t="s">
        <v>2697</v>
      </c>
      <c r="K843" s="16"/>
      <c r="L843" s="16"/>
      <c r="M843" s="176">
        <v>43831</v>
      </c>
      <c r="N843" s="176"/>
      <c r="O843" s="176">
        <v>44124</v>
      </c>
      <c r="P843" s="12">
        <v>12</v>
      </c>
      <c r="Q843" s="7" t="s">
        <v>108</v>
      </c>
      <c r="R843" s="18" t="s">
        <v>35</v>
      </c>
      <c r="S843" s="1335" t="s">
        <v>109</v>
      </c>
      <c r="T843" s="179" t="s">
        <v>54</v>
      </c>
      <c r="U843" s="15" t="s">
        <v>37</v>
      </c>
      <c r="V843" s="15"/>
      <c r="W843" s="5" t="s">
        <v>3722</v>
      </c>
      <c r="X843" s="5" t="s">
        <v>90</v>
      </c>
      <c r="Y843" s="5" t="s">
        <v>3723</v>
      </c>
      <c r="Z843" s="5"/>
      <c r="AA843" s="5"/>
      <c r="AB843" s="193" t="s">
        <v>3429</v>
      </c>
      <c r="AC843" s="8" t="s">
        <v>3724</v>
      </c>
      <c r="AD843" s="70" t="s">
        <v>3577</v>
      </c>
      <c r="AE843" s="215"/>
    </row>
    <row r="844" spans="1:32" s="1" customFormat="1" ht="29.1" customHeight="1">
      <c r="A844" s="895"/>
      <c r="B844" s="420" t="s">
        <v>145</v>
      </c>
      <c r="C844" s="66" t="s">
        <v>35</v>
      </c>
      <c r="D844" s="30" t="s">
        <v>82</v>
      </c>
      <c r="E844" s="30"/>
      <c r="F844" s="30"/>
      <c r="G844" s="30"/>
      <c r="H844" s="397"/>
      <c r="I844" s="5" t="s">
        <v>909</v>
      </c>
      <c r="J844" s="16" t="s">
        <v>3725</v>
      </c>
      <c r="K844" s="5"/>
      <c r="L844" s="5"/>
      <c r="M844" s="140">
        <v>44085</v>
      </c>
      <c r="N844" s="5"/>
      <c r="O844" s="140">
        <v>44129</v>
      </c>
      <c r="P844" s="66">
        <v>12</v>
      </c>
      <c r="Q844" s="66">
        <v>12</v>
      </c>
      <c r="R844" s="398">
        <v>4620</v>
      </c>
      <c r="S844" s="66" t="s">
        <v>909</v>
      </c>
      <c r="T844" s="159" t="s">
        <v>54</v>
      </c>
      <c r="U844" s="66" t="s">
        <v>43</v>
      </c>
      <c r="V844" s="66"/>
      <c r="W844" s="66" t="s">
        <v>3726</v>
      </c>
      <c r="X844" s="66" t="s">
        <v>94</v>
      </c>
      <c r="Y844" s="66" t="s">
        <v>1266</v>
      </c>
      <c r="Z844" s="66"/>
      <c r="AA844" s="397"/>
      <c r="AB844" s="397"/>
      <c r="AC844" s="144" t="s">
        <v>3727</v>
      </c>
      <c r="AD844" s="399"/>
      <c r="AE844" s="458"/>
    </row>
    <row r="845" spans="1:32" s="1" customFormat="1" ht="29.1" customHeight="1">
      <c r="A845" s="852"/>
      <c r="B845" s="713" t="s">
        <v>48</v>
      </c>
      <c r="C845" s="476" t="s">
        <v>125</v>
      </c>
      <c r="D845" s="554" t="s">
        <v>29</v>
      </c>
      <c r="E845" s="554"/>
      <c r="F845" s="554"/>
      <c r="G845" s="554"/>
      <c r="H845" s="466" t="s">
        <v>171</v>
      </c>
      <c r="I845" s="466" t="s">
        <v>64</v>
      </c>
      <c r="J845" s="549" t="s">
        <v>2191</v>
      </c>
      <c r="K845" s="484"/>
      <c r="L845" s="484"/>
      <c r="M845" s="466">
        <v>12</v>
      </c>
      <c r="N845" s="469" t="str">
        <f>IF(O845="tbc","",(IFERROR(EDATE(#REF!,-3),"Invalid procurement method or date entered")))</f>
        <v>Invalid procurement method or date entered</v>
      </c>
      <c r="O845" s="469">
        <v>44134</v>
      </c>
      <c r="P845" s="491">
        <v>12</v>
      </c>
      <c r="Q845" s="765">
        <v>12</v>
      </c>
      <c r="R845" s="491" t="s">
        <v>125</v>
      </c>
      <c r="S845" s="796" t="s">
        <v>66</v>
      </c>
      <c r="T845" s="813" t="s">
        <v>125</v>
      </c>
      <c r="U845" s="466" t="s">
        <v>125</v>
      </c>
      <c r="V845" s="466"/>
      <c r="W845" s="484" t="s">
        <v>493</v>
      </c>
      <c r="X845" s="114"/>
      <c r="Y845" s="114"/>
      <c r="Z845" s="114"/>
      <c r="AA845" s="114"/>
      <c r="AB845" s="114"/>
      <c r="AC845" s="114"/>
      <c r="AD845"/>
      <c r="AE845" s="180"/>
    </row>
    <row r="846" spans="1:32" s="1" customFormat="1" ht="29.1" customHeight="1">
      <c r="A846" s="852"/>
      <c r="B846" s="713" t="s">
        <v>48</v>
      </c>
      <c r="C846" s="465" t="s">
        <v>125</v>
      </c>
      <c r="D846" s="554" t="s">
        <v>29</v>
      </c>
      <c r="E846" s="554"/>
      <c r="F846" s="554"/>
      <c r="G846" s="554"/>
      <c r="H846" s="466" t="s">
        <v>49</v>
      </c>
      <c r="I846" s="474" t="s">
        <v>34</v>
      </c>
      <c r="J846" s="1024" t="s">
        <v>2127</v>
      </c>
      <c r="K846" s="467"/>
      <c r="L846" s="470" t="s">
        <v>35</v>
      </c>
      <c r="M846" s="470"/>
      <c r="N846" s="470"/>
      <c r="O846" s="470">
        <v>44135</v>
      </c>
      <c r="P846" s="471">
        <v>6</v>
      </c>
      <c r="Q846" s="761">
        <v>6</v>
      </c>
      <c r="R846" s="483">
        <v>5056</v>
      </c>
      <c r="S846" s="792" t="s">
        <v>109</v>
      </c>
      <c r="T846" s="803" t="s">
        <v>36</v>
      </c>
      <c r="U846" s="470" t="s">
        <v>43</v>
      </c>
      <c r="V846" s="470"/>
      <c r="W846" s="474" t="s">
        <v>2128</v>
      </c>
      <c r="X846" s="114"/>
      <c r="Y846" s="114"/>
      <c r="Z846" s="114"/>
      <c r="AA846" s="114"/>
      <c r="AB846" s="114"/>
      <c r="AC846" s="114"/>
      <c r="AD846"/>
      <c r="AE846" s="180"/>
    </row>
    <row r="847" spans="1:32" s="1" customFormat="1" ht="29.1" customHeight="1">
      <c r="A847" s="888"/>
      <c r="B847" s="141"/>
      <c r="C847" s="4" t="s">
        <v>3728</v>
      </c>
      <c r="D847" s="31" t="s">
        <v>29</v>
      </c>
      <c r="E847" s="31"/>
      <c r="F847" s="31"/>
      <c r="G847" s="31"/>
      <c r="H847" s="5" t="s">
        <v>70</v>
      </c>
      <c r="I847" s="12" t="s">
        <v>34</v>
      </c>
      <c r="J847" s="16" t="s">
        <v>3729</v>
      </c>
      <c r="K847" s="16"/>
      <c r="L847" s="16"/>
      <c r="M847" s="176">
        <v>43608</v>
      </c>
      <c r="N847" s="176"/>
      <c r="O847" s="176">
        <v>44136</v>
      </c>
      <c r="P847" s="12">
        <v>36</v>
      </c>
      <c r="Q847" s="25" t="s">
        <v>488</v>
      </c>
      <c r="R847" s="18">
        <v>141000</v>
      </c>
      <c r="S847" s="1338" t="s">
        <v>109</v>
      </c>
      <c r="T847" s="161" t="s">
        <v>36</v>
      </c>
      <c r="U847" s="45" t="s">
        <v>37</v>
      </c>
      <c r="V847" s="45"/>
      <c r="W847" s="12" t="s">
        <v>1290</v>
      </c>
      <c r="X847" s="5" t="s">
        <v>1091</v>
      </c>
      <c r="Y847" s="5" t="s">
        <v>457</v>
      </c>
      <c r="Z847" s="5"/>
      <c r="AA847" s="5" t="s">
        <v>54</v>
      </c>
      <c r="AB847" s="193" t="s">
        <v>1082</v>
      </c>
      <c r="AC847" s="6" t="s">
        <v>3730</v>
      </c>
      <c r="AD847" s="70" t="s">
        <v>3512</v>
      </c>
      <c r="AE847" s="215">
        <v>28000</v>
      </c>
    </row>
    <row r="848" spans="1:32" s="1" customFormat="1" ht="389.1" customHeight="1">
      <c r="A848" s="852"/>
      <c r="B848" s="57"/>
      <c r="C848" s="4" t="s">
        <v>35</v>
      </c>
      <c r="D848" s="31" t="s">
        <v>29</v>
      </c>
      <c r="E848" s="31"/>
      <c r="F848" s="31"/>
      <c r="G848" s="31"/>
      <c r="H848" s="1335" t="s">
        <v>171</v>
      </c>
      <c r="I848" s="1330" t="s">
        <v>64</v>
      </c>
      <c r="J848" s="16" t="s">
        <v>874</v>
      </c>
      <c r="K848" s="8"/>
      <c r="L848" s="5" t="e">
        <f>IF(OR(S848=#REF!,S848=#REF!,S848=#REF!,S848=#REF!,S848=#REF!,S848=#REF!,S848=#REF!,S848=#REF!),12,IF(OR(S848=#REF!,S848=#REF!,S848=#REF!,S848=#REF!,S848=#REF!,S848=#REF!,S848=#REF!),3,IF(S848=#REF!,1,IF(S848=#REF!,18,IF(OR(S848=#REF!,S848=#REF!,S848=#REF!,S848=#REF!,S848=#REF!),14,"Invalid proposed procurement method")))))</f>
        <v>#REF!</v>
      </c>
      <c r="M848" s="193" t="str">
        <f>IFERROR(EDATE($N848,-3),"Invalid procurement method or date entered")</f>
        <v>Invalid procurement method or date entered</v>
      </c>
      <c r="N848" s="193" t="str">
        <f>IFERROR(EDATE(O848,-L848),"Invalid procurement method or date entered")</f>
        <v>Invalid procurement method or date entered</v>
      </c>
      <c r="O848" s="193">
        <v>44136</v>
      </c>
      <c r="P848" s="5">
        <v>120</v>
      </c>
      <c r="Q848" s="7" t="s">
        <v>3731</v>
      </c>
      <c r="R848" s="39">
        <v>12000000</v>
      </c>
      <c r="S848" s="193" t="s">
        <v>66</v>
      </c>
      <c r="T848" s="165" t="s">
        <v>35</v>
      </c>
      <c r="U848" s="48" t="s">
        <v>35</v>
      </c>
      <c r="V848" s="48"/>
      <c r="W848" s="1330" t="s">
        <v>384</v>
      </c>
      <c r="X848" s="9" t="s">
        <v>56</v>
      </c>
      <c r="Y848" s="5" t="s">
        <v>39</v>
      </c>
      <c r="Z848" s="5"/>
      <c r="AA848" s="1330" t="s">
        <v>54</v>
      </c>
      <c r="AB848" s="193" t="s">
        <v>1250</v>
      </c>
      <c r="AC848" s="32" t="s">
        <v>3732</v>
      </c>
      <c r="AD848" s="70" t="s">
        <v>171</v>
      </c>
      <c r="AE848" s="158"/>
    </row>
    <row r="849" spans="1:32" s="1" customFormat="1" ht="72">
      <c r="A849" s="889"/>
      <c r="B849" s="57"/>
      <c r="C849" s="4" t="s">
        <v>1310</v>
      </c>
      <c r="D849" s="30" t="s">
        <v>29</v>
      </c>
      <c r="E849" s="30"/>
      <c r="F849" s="30"/>
      <c r="G849" s="30"/>
      <c r="H849" s="1335" t="s">
        <v>70</v>
      </c>
      <c r="I849" s="1335" t="s">
        <v>64</v>
      </c>
      <c r="J849" s="1339" t="s">
        <v>3394</v>
      </c>
      <c r="K849" s="1339"/>
      <c r="L849" s="5" t="e">
        <f>IF(OR(S849=#REF!,S849=#REF!,S849=#REF!,S849=#REF!,S849=#REF!,S849=#REF!,S849=#REF!,S849=#REF!),12,IF(OR(S849=#REF!,S849=#REF!,S849=#REF!,S849=#REF!,S849=#REF!,S849=#REF!,S849=#REF!),3,IF(S849=#REF!,1,IF(S849=#REF!,18,IF(OR(S849=#REF!,S849=#REF!,S849=#REF!,S849=#REF!,S849=#REF!),14,"Invalid proposed procurement method")))))</f>
        <v>#REF!</v>
      </c>
      <c r="M849" s="193" t="str">
        <f>IFERROR(EDATE($N849,-3),"Invalid procurement method or date entered")</f>
        <v>Invalid procurement method or date entered</v>
      </c>
      <c r="N849" s="193" t="str">
        <f>IFERROR(EDATE(O849,-L849),"Invalid procurement method or date entered")</f>
        <v>Invalid procurement method or date entered</v>
      </c>
      <c r="O849" s="176">
        <v>44136</v>
      </c>
      <c r="P849" s="1335">
        <v>24</v>
      </c>
      <c r="Q849" s="1332" t="s">
        <v>1243</v>
      </c>
      <c r="R849" s="18">
        <v>6000</v>
      </c>
      <c r="S849" s="1338" t="s">
        <v>109</v>
      </c>
      <c r="T849" s="1332" t="s">
        <v>54</v>
      </c>
      <c r="U849" s="1330" t="s">
        <v>37</v>
      </c>
      <c r="V849" s="1330"/>
      <c r="W849" s="1335" t="s">
        <v>3156</v>
      </c>
      <c r="X849" s="5" t="s">
        <v>73</v>
      </c>
      <c r="Y849" s="5" t="s">
        <v>59</v>
      </c>
      <c r="Z849" s="5" t="s">
        <v>95</v>
      </c>
      <c r="AA849" s="1335" t="s">
        <v>54</v>
      </c>
      <c r="AB849" s="193" t="s">
        <v>1269</v>
      </c>
      <c r="AC849" s="1327"/>
      <c r="AD849" s="74" t="s">
        <v>118</v>
      </c>
      <c r="AE849" s="1442"/>
      <c r="AF849" s="34"/>
    </row>
    <row r="850" spans="1:32" s="1" customFormat="1" ht="72">
      <c r="A850" s="889"/>
      <c r="B850" s="57"/>
      <c r="C850" s="4" t="s">
        <v>1310</v>
      </c>
      <c r="D850" s="30" t="s">
        <v>29</v>
      </c>
      <c r="E850" s="30"/>
      <c r="F850" s="30"/>
      <c r="G850" s="30"/>
      <c r="H850" s="43" t="s">
        <v>70</v>
      </c>
      <c r="I850" s="43" t="s">
        <v>64</v>
      </c>
      <c r="J850" s="16" t="s">
        <v>3396</v>
      </c>
      <c r="K850" s="16"/>
      <c r="L850" s="5" t="e">
        <f>IF(OR(S850=#REF!,S850=#REF!,S850=#REF!,S850=#REF!,S850=#REF!,S850=#REF!,S850=#REF!,S850=#REF!),12,IF(OR(S850=#REF!,S850=#REF!,S850=#REF!,S850=#REF!,S850=#REF!,S850=#REF!,S850=#REF!),3,IF(S850=#REF!,1,IF(S850=#REF!,18,IF(OR(S850=#REF!,S850=#REF!,S850=#REF!,S850=#REF!,S850=#REF!),14,"Invalid proposed procurement method")))))</f>
        <v>#REF!</v>
      </c>
      <c r="M850" s="193" t="str">
        <f>IFERROR(EDATE($N850,-3),"Invalid procurement method or date entered")</f>
        <v>Invalid procurement method or date entered</v>
      </c>
      <c r="N850" s="193" t="str">
        <f>IFERROR(EDATE(O850,-L850),"Invalid procurement method or date entered")</f>
        <v>Invalid procurement method or date entered</v>
      </c>
      <c r="O850" s="176">
        <v>44136</v>
      </c>
      <c r="P850" s="12">
        <v>24</v>
      </c>
      <c r="Q850" s="43" t="s">
        <v>1243</v>
      </c>
      <c r="R850" s="18">
        <v>350</v>
      </c>
      <c r="S850" s="5" t="s">
        <v>109</v>
      </c>
      <c r="T850" s="65" t="s">
        <v>54</v>
      </c>
      <c r="U850" s="11" t="s">
        <v>37</v>
      </c>
      <c r="V850" s="11"/>
      <c r="W850" s="5" t="s">
        <v>1022</v>
      </c>
      <c r="X850" s="5" t="s">
        <v>73</v>
      </c>
      <c r="Y850" s="5" t="s">
        <v>59</v>
      </c>
      <c r="Z850" s="5" t="s">
        <v>95</v>
      </c>
      <c r="AA850" s="12" t="s">
        <v>54</v>
      </c>
      <c r="AB850" s="193" t="s">
        <v>1269</v>
      </c>
      <c r="AC850" s="54"/>
      <c r="AD850" s="74" t="s">
        <v>118</v>
      </c>
      <c r="AE850" s="215"/>
    </row>
    <row r="851" spans="1:32" s="1" customFormat="1" ht="172.8">
      <c r="A851" s="888"/>
      <c r="B851" s="303"/>
      <c r="C851" s="8" t="s">
        <v>3733</v>
      </c>
      <c r="D851" s="31" t="s">
        <v>29</v>
      </c>
      <c r="E851" s="31"/>
      <c r="F851" s="31"/>
      <c r="G851" s="31"/>
      <c r="H851" s="5" t="s">
        <v>133</v>
      </c>
      <c r="I851" s="5" t="s">
        <v>64</v>
      </c>
      <c r="J851" s="16" t="s">
        <v>826</v>
      </c>
      <c r="K851" s="8"/>
      <c r="L851" s="8"/>
      <c r="M851" s="176">
        <v>43831</v>
      </c>
      <c r="N851" s="176"/>
      <c r="O851" s="176">
        <v>44136</v>
      </c>
      <c r="P851" s="12">
        <v>48</v>
      </c>
      <c r="Q851" s="25" t="s">
        <v>1316</v>
      </c>
      <c r="R851" s="18">
        <v>500000</v>
      </c>
      <c r="S851" s="30" t="s">
        <v>66</v>
      </c>
      <c r="T851" s="161" t="s">
        <v>41</v>
      </c>
      <c r="U851" s="45" t="s">
        <v>35</v>
      </c>
      <c r="V851" s="45"/>
      <c r="W851" s="5" t="s">
        <v>828</v>
      </c>
      <c r="X851" s="43" t="s">
        <v>1088</v>
      </c>
      <c r="Y851" s="5" t="s">
        <v>457</v>
      </c>
      <c r="Z851" s="5"/>
      <c r="AA851" s="5"/>
      <c r="AB851" s="193" t="s">
        <v>3429</v>
      </c>
      <c r="AC851" s="32" t="s">
        <v>3734</v>
      </c>
      <c r="AD851" s="1446" t="s">
        <v>416</v>
      </c>
      <c r="AE851" s="230"/>
    </row>
    <row r="852" spans="1:32" s="1" customFormat="1" ht="72">
      <c r="A852" s="888"/>
      <c r="B852" s="303"/>
      <c r="C852" s="4"/>
      <c r="D852" s="30" t="s">
        <v>29</v>
      </c>
      <c r="E852" s="30"/>
      <c r="F852" s="30"/>
      <c r="G852" s="30"/>
      <c r="H852" s="1335" t="s">
        <v>70</v>
      </c>
      <c r="I852" s="1335" t="s">
        <v>34</v>
      </c>
      <c r="J852" s="1339" t="s">
        <v>3735</v>
      </c>
      <c r="K852" s="1339"/>
      <c r="L852" s="1339"/>
      <c r="M852" s="193">
        <v>44044</v>
      </c>
      <c r="N852" s="193"/>
      <c r="O852" s="176">
        <v>44136</v>
      </c>
      <c r="P852" s="12">
        <v>12</v>
      </c>
      <c r="Q852" s="27">
        <v>12</v>
      </c>
      <c r="R852" s="18">
        <v>13000</v>
      </c>
      <c r="S852" s="1338" t="s">
        <v>109</v>
      </c>
      <c r="T852" s="1332" t="s">
        <v>54</v>
      </c>
      <c r="U852" s="1330" t="s">
        <v>37</v>
      </c>
      <c r="V852" s="1330"/>
      <c r="W852" s="1335" t="s">
        <v>3391</v>
      </c>
      <c r="X852" s="5" t="s">
        <v>219</v>
      </c>
      <c r="Y852" s="5" t="s">
        <v>59</v>
      </c>
      <c r="Z852" s="5"/>
      <c r="AA852" s="1339"/>
      <c r="AB852" s="193" t="s">
        <v>3429</v>
      </c>
      <c r="AC852" s="8" t="s">
        <v>3736</v>
      </c>
      <c r="AD852" s="70" t="s">
        <v>1244</v>
      </c>
      <c r="AE852" s="1450"/>
      <c r="AF852" s="1462"/>
    </row>
    <row r="853" spans="1:32" s="1" customFormat="1" ht="43.2">
      <c r="A853" s="852"/>
      <c r="B853" s="141"/>
      <c r="C853" s="1351"/>
      <c r="D853" s="1350" t="s">
        <v>82</v>
      </c>
      <c r="E853" s="1350"/>
      <c r="F853" s="1350"/>
      <c r="G853" s="1350"/>
      <c r="H853" s="1351" t="s">
        <v>364</v>
      </c>
      <c r="I853" s="1330" t="s">
        <v>34</v>
      </c>
      <c r="J853" s="1351" t="s">
        <v>3737</v>
      </c>
      <c r="K853" s="1351"/>
      <c r="L853" s="1351"/>
      <c r="M853" s="1329">
        <v>44071</v>
      </c>
      <c r="N853" s="1329"/>
      <c r="O853" s="1329">
        <v>44136</v>
      </c>
      <c r="P853" s="1330">
        <v>12</v>
      </c>
      <c r="Q853" s="1352">
        <v>12</v>
      </c>
      <c r="R853" s="1353">
        <v>50000</v>
      </c>
      <c r="S853" s="1338" t="s">
        <v>217</v>
      </c>
      <c r="T853" s="1352" t="s">
        <v>54</v>
      </c>
      <c r="U853" s="1330" t="s">
        <v>37</v>
      </c>
      <c r="V853" s="1330"/>
      <c r="W853" s="1330" t="s">
        <v>1092</v>
      </c>
      <c r="X853" s="1330" t="s">
        <v>219</v>
      </c>
      <c r="Y853" s="1330" t="s">
        <v>39</v>
      </c>
      <c r="Z853" s="1330"/>
      <c r="AA853" s="1330"/>
      <c r="AB853" s="193" t="s">
        <v>3429</v>
      </c>
      <c r="AC853" s="1354" t="s">
        <v>3738</v>
      </c>
      <c r="AD853" s="1356" t="s">
        <v>1330</v>
      </c>
      <c r="AE853" s="1352"/>
      <c r="AF853" s="1360"/>
    </row>
    <row r="854" spans="1:32" s="1" customFormat="1" ht="43.2">
      <c r="A854" s="1364"/>
      <c r="B854" s="303"/>
      <c r="C854" s="4" t="s">
        <v>3739</v>
      </c>
      <c r="D854" s="31" t="s">
        <v>60</v>
      </c>
      <c r="E854" s="31"/>
      <c r="F854" s="31"/>
      <c r="G854" s="31"/>
      <c r="H854" s="9" t="s">
        <v>171</v>
      </c>
      <c r="I854" s="15" t="s">
        <v>34</v>
      </c>
      <c r="J854" s="16" t="s">
        <v>3740</v>
      </c>
      <c r="K854" s="16"/>
      <c r="L854" s="5"/>
      <c r="M854" s="193"/>
      <c r="N854" s="193"/>
      <c r="O854" s="176">
        <v>44136</v>
      </c>
      <c r="P854" s="12">
        <v>17</v>
      </c>
      <c r="Q854" s="27">
        <v>17</v>
      </c>
      <c r="R854" s="89">
        <v>60367</v>
      </c>
      <c r="S854" s="30" t="s">
        <v>217</v>
      </c>
      <c r="T854" s="165" t="s">
        <v>54</v>
      </c>
      <c r="U854" s="48" t="s">
        <v>37</v>
      </c>
      <c r="V854" s="48"/>
      <c r="W854" s="5" t="s">
        <v>182</v>
      </c>
      <c r="X854" s="9" t="s">
        <v>219</v>
      </c>
      <c r="Y854" s="5" t="s">
        <v>457</v>
      </c>
      <c r="Z854" s="5"/>
      <c r="AA854" s="5" t="s">
        <v>54</v>
      </c>
      <c r="AB854" s="193" t="s">
        <v>1269</v>
      </c>
      <c r="AC854" s="32" t="s">
        <v>3741</v>
      </c>
      <c r="AD854" s="70"/>
      <c r="AE854" s="158">
        <v>42612</v>
      </c>
    </row>
    <row r="855" spans="1:32" s="1" customFormat="1" ht="86.4" customHeight="1">
      <c r="A855" s="888"/>
      <c r="B855" s="141" t="s">
        <v>28</v>
      </c>
      <c r="C855" s="174" t="s">
        <v>3344</v>
      </c>
      <c r="D855" s="31" t="s">
        <v>60</v>
      </c>
      <c r="E855" s="31"/>
      <c r="F855" s="31"/>
      <c r="G855" s="31"/>
      <c r="H855" s="9" t="s">
        <v>336</v>
      </c>
      <c r="I855" s="9" t="s">
        <v>34</v>
      </c>
      <c r="J855" s="60" t="s">
        <v>3345</v>
      </c>
      <c r="K855" s="6"/>
      <c r="L855" s="6"/>
      <c r="M855" s="177">
        <v>43831</v>
      </c>
      <c r="N855" s="177"/>
      <c r="O855" s="177">
        <v>44136</v>
      </c>
      <c r="P855" s="9" t="s">
        <v>35</v>
      </c>
      <c r="Q855" s="179" t="s">
        <v>35</v>
      </c>
      <c r="R855" s="9" t="s">
        <v>35</v>
      </c>
      <c r="S855" s="31" t="s">
        <v>35</v>
      </c>
      <c r="T855" s="160" t="s">
        <v>54</v>
      </c>
      <c r="U855" s="208" t="s">
        <v>37</v>
      </c>
      <c r="V855" s="208"/>
      <c r="W855" s="9" t="s">
        <v>174</v>
      </c>
      <c r="X855" s="43" t="s">
        <v>1536</v>
      </c>
      <c r="Y855" s="9" t="s">
        <v>59</v>
      </c>
      <c r="Z855" s="9"/>
      <c r="AA855" s="9"/>
      <c r="AB855" s="1451"/>
      <c r="AC855" s="6" t="s">
        <v>3742</v>
      </c>
      <c r="AD855" s="70" t="s">
        <v>171</v>
      </c>
      <c r="AE855" s="222"/>
    </row>
    <row r="856" spans="1:32" s="1" customFormat="1" ht="52.8">
      <c r="A856" s="852"/>
      <c r="B856" s="713" t="s">
        <v>48</v>
      </c>
      <c r="C856" s="466" t="s">
        <v>2117</v>
      </c>
      <c r="D856" s="554" t="s">
        <v>60</v>
      </c>
      <c r="E856" s="554"/>
      <c r="F856" s="554"/>
      <c r="G856" s="554"/>
      <c r="H856" s="466" t="s">
        <v>127</v>
      </c>
      <c r="I856" s="474" t="s">
        <v>34</v>
      </c>
      <c r="J856" s="549" t="s">
        <v>2118</v>
      </c>
      <c r="K856" s="484"/>
      <c r="L856" s="470">
        <v>44013</v>
      </c>
      <c r="M856" s="470"/>
      <c r="N856" s="470"/>
      <c r="O856" s="470">
        <v>44136</v>
      </c>
      <c r="P856" s="471">
        <v>48</v>
      </c>
      <c r="Q856" s="471">
        <v>48</v>
      </c>
      <c r="R856" s="483">
        <f>280000*4</f>
        <v>1120000</v>
      </c>
      <c r="S856" s="470" t="s">
        <v>2092</v>
      </c>
      <c r="T856" s="803" t="s">
        <v>144</v>
      </c>
      <c r="U856" s="466" t="s">
        <v>125</v>
      </c>
      <c r="V856" s="466"/>
      <c r="W856" s="486" t="s">
        <v>511</v>
      </c>
      <c r="X856" s="114"/>
      <c r="Y856" s="114"/>
      <c r="Z856" s="114"/>
      <c r="AA856" s="114"/>
      <c r="AB856" s="114"/>
      <c r="AC856" s="114"/>
      <c r="AD856"/>
      <c r="AE856" s="180"/>
      <c r="AF856" s="34"/>
    </row>
    <row r="857" spans="1:32" s="34" customFormat="1" ht="43.35" customHeight="1">
      <c r="A857" s="889"/>
      <c r="B857" s="57"/>
      <c r="C857" s="4" t="s">
        <v>3168</v>
      </c>
      <c r="D857" s="31" t="s">
        <v>29</v>
      </c>
      <c r="E857" s="31"/>
      <c r="F857" s="31"/>
      <c r="G857" s="31"/>
      <c r="H857" s="5" t="s">
        <v>70</v>
      </c>
      <c r="I857" s="5" t="s">
        <v>64</v>
      </c>
      <c r="J857" s="16" t="s">
        <v>3743</v>
      </c>
      <c r="K857" s="16"/>
      <c r="L857" s="5" t="e">
        <f>IF(OR(S857=#REF!,S857=#REF!,S857=#REF!,S857=#REF!,S857=#REF!,S857=#REF!,S857=#REF!,S857=#REF!),12,IF(OR(S857=#REF!,S857=#REF!,S857=#REF!,S857=#REF!,S857=#REF!,S857=#REF!,S857=#REF!),3,IF(S857=#REF!,1,IF(S857=#REF!,18,IF(OR(S857=#REF!,S857=#REF!,S857=#REF!,S857=#REF!,S857=#REF!),14,"Invalid proposed procurement method")))))</f>
        <v>#REF!</v>
      </c>
      <c r="M857" s="193" t="str">
        <f>IFERROR(EDATE($N857,-3),"Invalid procurement method or date entered")</f>
        <v>Invalid procurement method or date entered</v>
      </c>
      <c r="N857" s="193" t="str">
        <f>IFERROR(EDATE(O857,-L857),"Invalid procurement method or date entered")</f>
        <v>Invalid procurement method or date entered</v>
      </c>
      <c r="O857" s="176">
        <v>44140</v>
      </c>
      <c r="P857" s="5">
        <v>48</v>
      </c>
      <c r="Q857" s="26" t="s">
        <v>1271</v>
      </c>
      <c r="R857" s="18">
        <v>294800</v>
      </c>
      <c r="S857" s="30" t="s">
        <v>66</v>
      </c>
      <c r="T857" s="26" t="s">
        <v>36</v>
      </c>
      <c r="U857" s="12" t="s">
        <v>37</v>
      </c>
      <c r="V857" s="12"/>
      <c r="W857" s="12" t="s">
        <v>1290</v>
      </c>
      <c r="X857" s="43" t="s">
        <v>1091</v>
      </c>
      <c r="Y857" s="5" t="s">
        <v>457</v>
      </c>
      <c r="Z857" s="5"/>
      <c r="AA857" s="5" t="s">
        <v>41</v>
      </c>
      <c r="AB857" s="193" t="s">
        <v>1082</v>
      </c>
      <c r="AC857" s="8" t="s">
        <v>3238</v>
      </c>
      <c r="AD857" s="74" t="s">
        <v>3744</v>
      </c>
      <c r="AE857" s="158">
        <v>34000</v>
      </c>
    </row>
    <row r="858" spans="1:32" s="1" customFormat="1" ht="66">
      <c r="A858" s="852"/>
      <c r="B858" s="713" t="s">
        <v>48</v>
      </c>
      <c r="C858" s="466" t="s">
        <v>2239</v>
      </c>
      <c r="D858" s="554" t="s">
        <v>60</v>
      </c>
      <c r="E858" s="554"/>
      <c r="F858" s="554"/>
      <c r="G858" s="554"/>
      <c r="H858" s="466" t="s">
        <v>127</v>
      </c>
      <c r="I858" s="474" t="s">
        <v>34</v>
      </c>
      <c r="J858" s="1024" t="s">
        <v>2240</v>
      </c>
      <c r="K858" s="467"/>
      <c r="L858" s="467"/>
      <c r="M858" s="466">
        <v>3</v>
      </c>
      <c r="N858" s="469" t="str">
        <f>IF(O858="tbc","",(IFERROR(EDATE(#REF!,-3),"Invalid procurement method or date entered")))</f>
        <v>Invalid procurement method or date entered</v>
      </c>
      <c r="O858" s="470">
        <v>44155</v>
      </c>
      <c r="P858" s="471">
        <v>1</v>
      </c>
      <c r="Q858" s="471">
        <v>1</v>
      </c>
      <c r="R858" s="483">
        <v>324112</v>
      </c>
      <c r="S858" s="470" t="s">
        <v>129</v>
      </c>
      <c r="T858" s="803" t="s">
        <v>36</v>
      </c>
      <c r="U858" s="466" t="s">
        <v>125</v>
      </c>
      <c r="V858" s="466"/>
      <c r="W858" s="486" t="s">
        <v>2098</v>
      </c>
      <c r="X858" s="114"/>
      <c r="Y858" s="114"/>
      <c r="Z858" s="114"/>
      <c r="AA858" s="114"/>
      <c r="AB858" s="114"/>
      <c r="AC858" s="114"/>
      <c r="AD858"/>
      <c r="AE858" s="180"/>
    </row>
    <row r="859" spans="1:32" s="1" customFormat="1" ht="66">
      <c r="A859" s="852"/>
      <c r="B859" s="713" t="s">
        <v>48</v>
      </c>
      <c r="C859" s="466" t="s">
        <v>125</v>
      </c>
      <c r="D859" s="554" t="s">
        <v>60</v>
      </c>
      <c r="E859" s="554"/>
      <c r="F859" s="554"/>
      <c r="G859" s="554"/>
      <c r="H859" s="466" t="s">
        <v>127</v>
      </c>
      <c r="I859" s="474" t="s">
        <v>34</v>
      </c>
      <c r="J859" s="1024" t="s">
        <v>2266</v>
      </c>
      <c r="K859" s="467"/>
      <c r="L859" s="467"/>
      <c r="M859" s="466">
        <v>3</v>
      </c>
      <c r="N859" s="469" t="str">
        <f>IF(O859="tbc","",(IFERROR(EDATE(#REF!,-3),"Invalid procurement method or date entered")))</f>
        <v>Invalid procurement method or date entered</v>
      </c>
      <c r="O859" s="470">
        <v>44155</v>
      </c>
      <c r="P859" s="471">
        <v>2</v>
      </c>
      <c r="Q859" s="471" t="s">
        <v>125</v>
      </c>
      <c r="R859" s="483">
        <v>878074</v>
      </c>
      <c r="S859" s="470" t="s">
        <v>129</v>
      </c>
      <c r="T859" s="803" t="s">
        <v>144</v>
      </c>
      <c r="U859" s="466" t="s">
        <v>125</v>
      </c>
      <c r="V859" s="466"/>
      <c r="W859" s="486" t="s">
        <v>2098</v>
      </c>
      <c r="X859" s="114"/>
      <c r="Y859" s="114"/>
      <c r="Z859" s="114"/>
      <c r="AA859" s="114"/>
      <c r="AB859" s="114"/>
      <c r="AC859" s="114"/>
      <c r="AD859"/>
      <c r="AE859" s="180"/>
    </row>
    <row r="860" spans="1:32" s="1" customFormat="1" ht="29.1" customHeight="1">
      <c r="A860" s="889"/>
      <c r="B860" s="141"/>
      <c r="C860" s="4" t="s">
        <v>3745</v>
      </c>
      <c r="D860" s="30" t="s">
        <v>60</v>
      </c>
      <c r="E860" s="30"/>
      <c r="F860" s="30"/>
      <c r="G860" s="30"/>
      <c r="H860" s="5" t="s">
        <v>260</v>
      </c>
      <c r="I860" s="5" t="s">
        <v>34</v>
      </c>
      <c r="J860" s="16" t="s">
        <v>3469</v>
      </c>
      <c r="K860" s="8"/>
      <c r="L860" s="5" t="e">
        <f>IF(OR(S860=#REF!,S860=#REF!,S860=#REF!,S860=#REF!,S860=#REF!,S860=#REF!,S860=#REF!,S860=#REF!),12,IF(OR(S860=#REF!,S860=#REF!,S860=#REF!,S860=#REF!,S860=#REF!,S860=#REF!,S860=#REF!),3,IF(S860=#REF!,1,IF(S860=#REF!,18,IF(OR(S860=#REF!,S860=#REF!,S860=#REF!,S860=#REF!,S860=#REF!),14,"Invalid proposed procurement method")))))</f>
        <v>#REF!</v>
      </c>
      <c r="M860" s="193" t="str">
        <f>IFERROR(EDATE($N860,-3),"Invalid procurement method or date entered")</f>
        <v>Invalid procurement method or date entered</v>
      </c>
      <c r="N860" s="193" t="str">
        <f>IFERROR(EDATE(O860,-L860),"Invalid procurement method or date entered")</f>
        <v>Invalid procurement method or date entered</v>
      </c>
      <c r="O860" s="193">
        <v>44165</v>
      </c>
      <c r="P860" s="5">
        <v>60</v>
      </c>
      <c r="Q860" s="5">
        <v>60</v>
      </c>
      <c r="R860" s="18">
        <v>254000</v>
      </c>
      <c r="S860" s="5" t="s">
        <v>46</v>
      </c>
      <c r="T860" s="163" t="s">
        <v>36</v>
      </c>
      <c r="U860" s="50" t="s">
        <v>37</v>
      </c>
      <c r="V860" s="50"/>
      <c r="W860" s="5" t="s">
        <v>233</v>
      </c>
      <c r="X860" s="43" t="s">
        <v>1053</v>
      </c>
      <c r="Y860" s="5" t="s">
        <v>457</v>
      </c>
      <c r="Z860" s="5"/>
      <c r="AA860" s="5" t="s">
        <v>41</v>
      </c>
      <c r="AB860" s="193" t="s">
        <v>1250</v>
      </c>
      <c r="AC860" s="8" t="s">
        <v>1246</v>
      </c>
      <c r="AD860" s="70" t="s">
        <v>63</v>
      </c>
      <c r="AE860" s="158"/>
      <c r="AF860" s="34"/>
    </row>
    <row r="861" spans="1:32" s="1" customFormat="1" ht="29.1" customHeight="1">
      <c r="A861" s="888"/>
      <c r="B861" s="57"/>
      <c r="C861" s="4" t="s">
        <v>3746</v>
      </c>
      <c r="D861" s="30" t="s">
        <v>29</v>
      </c>
      <c r="E861" s="30"/>
      <c r="F861" s="30"/>
      <c r="G861" s="30"/>
      <c r="H861" s="5" t="s">
        <v>260</v>
      </c>
      <c r="I861" s="5" t="s">
        <v>64</v>
      </c>
      <c r="J861" s="16" t="s">
        <v>2751</v>
      </c>
      <c r="K861" s="16"/>
      <c r="L861" s="5" t="e">
        <f>IF(OR(S861=#REF!,S861=#REF!,S861=#REF!,S861=#REF!,S861=#REF!,S861=#REF!,S861=#REF!,S861=#REF!),12,IF(OR(S861=#REF!,S861=#REF!,S861=#REF!,S861=#REF!,S861=#REF!,S861=#REF!,S861=#REF!),3,IF(S861=#REF!,1,IF(S861=#REF!,18,IF(OR(S861=#REF!,S861=#REF!,S861=#REF!,S861=#REF!,S861=#REF!),14,"Invalid proposed procurement method")))))</f>
        <v>#REF!</v>
      </c>
      <c r="M861" s="193" t="str">
        <f>IFERROR(EDATE($N861,-3),"Invalid procurement method or date entered")</f>
        <v>Invalid procurement method or date entered</v>
      </c>
      <c r="N861" s="193" t="str">
        <f>IFERROR(EDATE(O861,-L861),"Invalid procurement method or date entered")</f>
        <v>Invalid procurement method or date entered</v>
      </c>
      <c r="O861" s="14">
        <v>44166</v>
      </c>
      <c r="P861" s="12">
        <v>6</v>
      </c>
      <c r="Q861" s="5">
        <v>6</v>
      </c>
      <c r="R861" s="18">
        <v>200000</v>
      </c>
      <c r="S861" s="5" t="s">
        <v>66</v>
      </c>
      <c r="T861" s="163" t="s">
        <v>41</v>
      </c>
      <c r="U861" s="50">
        <v>43894</v>
      </c>
      <c r="V861" s="50"/>
      <c r="W861" s="5" t="s">
        <v>343</v>
      </c>
      <c r="X861" s="5" t="s">
        <v>1053</v>
      </c>
      <c r="Y861" s="5" t="s">
        <v>457</v>
      </c>
      <c r="Z861" s="5"/>
      <c r="AA861" s="5" t="s">
        <v>41</v>
      </c>
      <c r="AB861" s="193" t="s">
        <v>1250</v>
      </c>
      <c r="AC861" s="8" t="s">
        <v>1246</v>
      </c>
      <c r="AD861" s="70" t="s">
        <v>260</v>
      </c>
      <c r="AE861" s="214"/>
    </row>
    <row r="862" spans="1:32" s="1" customFormat="1" ht="129.6">
      <c r="A862" s="888"/>
      <c r="B862" s="57"/>
      <c r="C862" s="4" t="s">
        <v>35</v>
      </c>
      <c r="D862" s="31" t="s">
        <v>60</v>
      </c>
      <c r="E862" s="31"/>
      <c r="F862" s="31"/>
      <c r="G862" s="31"/>
      <c r="H862" s="5" t="s">
        <v>70</v>
      </c>
      <c r="I862" s="5" t="s">
        <v>34</v>
      </c>
      <c r="J862" s="16" t="s">
        <v>3747</v>
      </c>
      <c r="K862" s="16"/>
      <c r="L862" s="5" t="e">
        <f>IF(OR(S862=#REF!,S862=#REF!,S862=#REF!,S862=#REF!,S862=#REF!,S862=#REF!,S862=#REF!,S862=#REF!),12,IF(OR(S862=#REF!,S862=#REF!,S862=#REF!,S862=#REF!,S862=#REF!,S862=#REF!,S862=#REF!),3,IF(S862=#REF!,1,IF(S862=#REF!,18,IF(OR(S862=#REF!,S862=#REF!,S862=#REF!,S862=#REF!,S862=#REF!),14,"Invalid proposed procurement method")))))</f>
        <v>#REF!</v>
      </c>
      <c r="M862" s="193" t="str">
        <f>IFERROR(EDATE($N862,-3),"Invalid procurement method or date entered")</f>
        <v>Invalid procurement method or date entered</v>
      </c>
      <c r="N862" s="193" t="str">
        <f>IFERROR(EDATE(O862,-L862),"Invalid procurement method or date entered")</f>
        <v>Invalid procurement method or date entered</v>
      </c>
      <c r="O862" s="193">
        <v>44166</v>
      </c>
      <c r="P862" s="12" t="s">
        <v>35</v>
      </c>
      <c r="Q862" s="7" t="s">
        <v>35</v>
      </c>
      <c r="R862" s="18">
        <v>67500</v>
      </c>
      <c r="S862" s="30" t="s">
        <v>163</v>
      </c>
      <c r="T862" s="179" t="s">
        <v>54</v>
      </c>
      <c r="U862" s="15" t="s">
        <v>37</v>
      </c>
      <c r="V862" s="15"/>
      <c r="W862" s="5" t="s">
        <v>264</v>
      </c>
      <c r="X862" s="5" t="s">
        <v>254</v>
      </c>
      <c r="Y862" s="5" t="s">
        <v>39</v>
      </c>
      <c r="Z862" s="5"/>
      <c r="AA862" s="26" t="s">
        <v>54</v>
      </c>
      <c r="AB862" s="42" t="s">
        <v>1269</v>
      </c>
      <c r="AC862" s="8" t="s">
        <v>3748</v>
      </c>
      <c r="AD862" s="74" t="s">
        <v>96</v>
      </c>
      <c r="AE862" s="218"/>
    </row>
    <row r="863" spans="1:32" s="93" customFormat="1" ht="72">
      <c r="A863" s="852"/>
      <c r="B863" s="141"/>
      <c r="C863" s="4" t="s">
        <v>35</v>
      </c>
      <c r="D863" s="31" t="s">
        <v>29</v>
      </c>
      <c r="E863" s="31"/>
      <c r="F863" s="31"/>
      <c r="G863" s="31"/>
      <c r="H863" s="5" t="s">
        <v>70</v>
      </c>
      <c r="I863" s="5" t="s">
        <v>34</v>
      </c>
      <c r="J863" s="16" t="s">
        <v>3749</v>
      </c>
      <c r="K863" s="16"/>
      <c r="L863" s="5" t="e">
        <f>IF(OR(S863=#REF!,S863=#REF!,S863=#REF!,S863=#REF!,S863=#REF!,S863=#REF!,S863=#REF!,S863=#REF!),12,IF(OR(S863=#REF!,S863=#REF!,S863=#REF!,S863=#REF!,S863=#REF!,S863=#REF!,S863=#REF!),3,IF(S863=#REF!,1,IF(S863=#REF!,18,IF(OR(S863=#REF!,S863=#REF!,S863=#REF!,S863=#REF!,S863=#REF!),14,"Invalid proposed procurement method")))))</f>
        <v>#REF!</v>
      </c>
      <c r="M863" s="193" t="str">
        <f>IFERROR(EDATE($N863,-3),"Invalid procurement method or date entered")</f>
        <v>Invalid procurement method or date entered</v>
      </c>
      <c r="N863" s="193" t="str">
        <f>IFERROR(EDATE(O863,-L863),"Invalid procurement method or date entered")</f>
        <v>Invalid procurement method or date entered</v>
      </c>
      <c r="O863" s="14">
        <v>44166</v>
      </c>
      <c r="P863" s="12">
        <v>12</v>
      </c>
      <c r="Q863" s="26">
        <v>12</v>
      </c>
      <c r="R863" s="18">
        <v>20000</v>
      </c>
      <c r="S863" s="30" t="s">
        <v>909</v>
      </c>
      <c r="T863" s="158" t="s">
        <v>54</v>
      </c>
      <c r="U863" s="15" t="s">
        <v>37</v>
      </c>
      <c r="V863" s="15"/>
      <c r="W863" s="5" t="s">
        <v>472</v>
      </c>
      <c r="X863" s="5" t="s">
        <v>219</v>
      </c>
      <c r="Y863" s="5" t="s">
        <v>39</v>
      </c>
      <c r="Z863" s="5"/>
      <c r="AA863" s="5" t="s">
        <v>41</v>
      </c>
      <c r="AB863" s="193" t="s">
        <v>1250</v>
      </c>
      <c r="AC863" s="8" t="s">
        <v>3750</v>
      </c>
      <c r="AD863" s="70" t="s">
        <v>63</v>
      </c>
      <c r="AE863" s="214"/>
      <c r="AF863" s="1"/>
    </row>
    <row r="864" spans="1:32" s="1" customFormat="1" ht="29.1" customHeight="1">
      <c r="A864" s="888"/>
      <c r="B864" s="141" t="s">
        <v>28</v>
      </c>
      <c r="C864" s="4" t="s">
        <v>3419</v>
      </c>
      <c r="D864" s="30" t="s">
        <v>29</v>
      </c>
      <c r="E864" s="30"/>
      <c r="F864" s="30"/>
      <c r="G864" s="30"/>
      <c r="H864" s="5" t="s">
        <v>364</v>
      </c>
      <c r="I864" s="5" t="s">
        <v>64</v>
      </c>
      <c r="J864" s="16" t="s">
        <v>3420</v>
      </c>
      <c r="K864" s="16"/>
      <c r="L864" s="16"/>
      <c r="M864" s="176">
        <v>43783</v>
      </c>
      <c r="N864" s="176"/>
      <c r="O864" s="176">
        <v>44166</v>
      </c>
      <c r="P864" s="1330">
        <v>24</v>
      </c>
      <c r="Q864" s="43" t="s">
        <v>1297</v>
      </c>
      <c r="R864" s="18">
        <v>25000</v>
      </c>
      <c r="S864" s="124" t="s">
        <v>109</v>
      </c>
      <c r="T864" s="163" t="s">
        <v>54</v>
      </c>
      <c r="U864" s="4"/>
      <c r="V864" s="4"/>
      <c r="W864" s="5" t="s">
        <v>415</v>
      </c>
      <c r="X864" s="5" t="s">
        <v>68</v>
      </c>
      <c r="Y864" s="5" t="s">
        <v>59</v>
      </c>
      <c r="Z864" s="5"/>
      <c r="AA864" s="5"/>
      <c r="AB864" s="193"/>
      <c r="AC864" s="8"/>
      <c r="AE864" s="215"/>
    </row>
    <row r="865" spans="1:32" s="1" customFormat="1" ht="57.6" customHeight="1">
      <c r="A865" s="888"/>
      <c r="B865" s="141" t="s">
        <v>28</v>
      </c>
      <c r="C865" s="4" t="s">
        <v>35</v>
      </c>
      <c r="D865" s="31" t="s">
        <v>29</v>
      </c>
      <c r="E865" s="31"/>
      <c r="F865" s="31"/>
      <c r="G865" s="31"/>
      <c r="H865" s="5" t="s">
        <v>70</v>
      </c>
      <c r="I865" s="5" t="s">
        <v>53</v>
      </c>
      <c r="J865" s="16" t="s">
        <v>3751</v>
      </c>
      <c r="K865" s="8"/>
      <c r="L865" s="5" t="e">
        <f>IF(OR(S865=#REF!,S865=#REF!,S865=#REF!,S865=#REF!,S865=#REF!,S865=#REF!,S865=#REF!,S865=#REF!),12,IF(OR(S865=#REF!,S865=#REF!,S865=#REF!,S865=#REF!,S865=#REF!,S865=#REF!,S865=#REF!),3,IF(S865=#REF!,1,IF(S865=#REF!,18,IF(OR(S865=#REF!,S865=#REF!,S865=#REF!,S865=#REF!,S865=#REF!),14,"Invalid proposed procurement method")))))</f>
        <v>#REF!</v>
      </c>
      <c r="M865" s="193" t="str">
        <f>IFERROR(EDATE($N865,-3),"Invalid procurement method or date entered")</f>
        <v>Invalid procurement method or date entered</v>
      </c>
      <c r="N865" s="193" t="str">
        <f>IFERROR(EDATE(O865,-L865),"Invalid procurement method or date entered")</f>
        <v>Invalid procurement method or date entered</v>
      </c>
      <c r="O865" s="14">
        <v>44166</v>
      </c>
      <c r="P865" s="12">
        <v>24</v>
      </c>
      <c r="Q865" s="26">
        <v>24</v>
      </c>
      <c r="R865" s="18" t="s">
        <v>125</v>
      </c>
      <c r="S865" s="5" t="s">
        <v>53</v>
      </c>
      <c r="T865" s="26" t="s">
        <v>54</v>
      </c>
      <c r="U865" s="12" t="s">
        <v>37</v>
      </c>
      <c r="V865" s="12"/>
      <c r="W865" s="5" t="s">
        <v>3752</v>
      </c>
      <c r="X865" s="5" t="s">
        <v>1088</v>
      </c>
      <c r="Y865" s="5" t="s">
        <v>457</v>
      </c>
      <c r="Z865" s="5"/>
      <c r="AA865" s="26" t="s">
        <v>41</v>
      </c>
      <c r="AB865" s="42">
        <v>44221</v>
      </c>
      <c r="AC865" s="32" t="s">
        <v>3753</v>
      </c>
      <c r="AD865" s="74" t="s">
        <v>3487</v>
      </c>
      <c r="AE865" s="236"/>
    </row>
    <row r="866" spans="1:32" s="1" customFormat="1" ht="66">
      <c r="A866" s="852"/>
      <c r="B866" s="713" t="s">
        <v>48</v>
      </c>
      <c r="C866" s="465" t="s">
        <v>2287</v>
      </c>
      <c r="D866" s="554" t="s">
        <v>60</v>
      </c>
      <c r="E866" s="554"/>
      <c r="F866" s="554"/>
      <c r="G866" s="554"/>
      <c r="H866" s="466" t="s">
        <v>127</v>
      </c>
      <c r="I866" s="474" t="s">
        <v>34</v>
      </c>
      <c r="J866" s="549" t="s">
        <v>2288</v>
      </c>
      <c r="K866" s="484"/>
      <c r="L866" s="484"/>
      <c r="M866" s="466">
        <v>1</v>
      </c>
      <c r="N866" s="469" t="str">
        <f>IF(O866="tbc","",(IFERROR(EDATE(#REF!,-3),"Invalid procurement method or date entered")))</f>
        <v>Invalid procurement method or date entered</v>
      </c>
      <c r="O866" s="469">
        <v>44166</v>
      </c>
      <c r="P866" s="491" t="s">
        <v>125</v>
      </c>
      <c r="Q866" s="491" t="s">
        <v>125</v>
      </c>
      <c r="R866" s="493">
        <v>60000</v>
      </c>
      <c r="S866" s="796" t="s">
        <v>163</v>
      </c>
      <c r="T866" s="765" t="s">
        <v>36</v>
      </c>
      <c r="U866" s="469">
        <v>43700</v>
      </c>
      <c r="V866" s="469"/>
      <c r="W866" s="474" t="s">
        <v>2012</v>
      </c>
      <c r="X866" s="114"/>
      <c r="Y866" s="114"/>
      <c r="Z866" s="114"/>
      <c r="AA866" s="114"/>
      <c r="AB866" s="114"/>
      <c r="AC866" s="114"/>
      <c r="AD866"/>
      <c r="AE866" s="180"/>
    </row>
    <row r="867" spans="1:32" s="1" customFormat="1" ht="90">
      <c r="A867" s="888"/>
      <c r="B867" s="422"/>
      <c r="C867" s="248" t="s">
        <v>3754</v>
      </c>
      <c r="D867" s="249" t="s">
        <v>60</v>
      </c>
      <c r="E867" s="249"/>
      <c r="F867" s="249"/>
      <c r="G867" s="249"/>
      <c r="H867" s="250" t="s">
        <v>171</v>
      </c>
      <c r="I867" s="250" t="s">
        <v>34</v>
      </c>
      <c r="J867" s="1033" t="s">
        <v>3755</v>
      </c>
      <c r="K867" s="248"/>
      <c r="L867" s="250" t="e">
        <f>IF(OR(S867=#REF!,S867=#REF!,S867=#REF!,S867=#REF!,S867=#REF!,S867=#REF!,S867=#REF!,S867=#REF!),12,IF(OR(S867=#REF!,S867=#REF!,S867=#REF!,S867=#REF!,S867=#REF!,S867=#REF!,S867=#REF!),3,IF(S867=#REF!,1,IF(S867=#REF!,18,IF(OR(S867=#REF!,S867=#REF!,S867=#REF!,S867=#REF!,S867=#REF!),14,"Invalid proposed procurement method")))))</f>
        <v>#REF!</v>
      </c>
      <c r="M867" s="251" t="str">
        <f>IFERROR(EDATE($N867,-3),"Invalid procurement method or date entered")</f>
        <v>Invalid procurement method or date entered</v>
      </c>
      <c r="N867" s="251" t="str">
        <f>IFERROR(EDATE(O867,-L867),"Invalid procurement method or date entered")</f>
        <v>Invalid procurement method or date entered</v>
      </c>
      <c r="O867" s="251">
        <v>44173</v>
      </c>
      <c r="P867" s="252">
        <v>4</v>
      </c>
      <c r="Q867" s="252">
        <v>4</v>
      </c>
      <c r="R867" s="253">
        <v>35000</v>
      </c>
      <c r="S867" s="252" t="s">
        <v>163</v>
      </c>
      <c r="T867" s="430" t="s">
        <v>54</v>
      </c>
      <c r="U867" s="252" t="s">
        <v>37</v>
      </c>
      <c r="V867" s="252"/>
      <c r="W867" s="250" t="s">
        <v>3756</v>
      </c>
      <c r="X867" s="250" t="s">
        <v>90</v>
      </c>
      <c r="Y867" s="250" t="s">
        <v>39</v>
      </c>
      <c r="Z867" s="250"/>
      <c r="AA867" s="250" t="s">
        <v>41</v>
      </c>
      <c r="AB867" s="193" t="s">
        <v>1082</v>
      </c>
      <c r="AC867" s="248" t="s">
        <v>3757</v>
      </c>
      <c r="AD867" s="450" t="s">
        <v>171</v>
      </c>
      <c r="AE867" s="254">
        <v>35000</v>
      </c>
    </row>
    <row r="868" spans="1:32" s="1" customFormat="1" ht="72">
      <c r="A868" s="889"/>
      <c r="B868" s="57"/>
      <c r="C868" s="4" t="s">
        <v>142</v>
      </c>
      <c r="D868" s="30" t="s">
        <v>29</v>
      </c>
      <c r="E868" s="30"/>
      <c r="F868" s="30"/>
      <c r="G868" s="30"/>
      <c r="H868" s="5" t="s">
        <v>70</v>
      </c>
      <c r="I868" s="5" t="s">
        <v>34</v>
      </c>
      <c r="J868" s="16" t="s">
        <v>151</v>
      </c>
      <c r="K868" s="16"/>
      <c r="L868" s="5" t="e">
        <f>IF(OR(S868=#REF!,S868=#REF!,S868=#REF!,S868=#REF!,S868=#REF!,S868=#REF!,S868=#REF!,S868=#REF!),12,IF(OR(S868=#REF!,S868=#REF!,S868=#REF!,S868=#REF!,S868=#REF!,S868=#REF!,S868=#REF!),3,IF(S868=#REF!,1,IF(S868=#REF!,18,IF(OR(S868=#REF!,S868=#REF!,S868=#REF!,S868=#REF!,S868=#REF!),14,"Invalid proposed procurement method")))))</f>
        <v>#REF!</v>
      </c>
      <c r="M868" s="193" t="str">
        <f>IFERROR(EDATE($N868,-3),"Invalid procurement method or date entered")</f>
        <v>Invalid procurement method or date entered</v>
      </c>
      <c r="N868" s="193" t="str">
        <f>IFERROR(EDATE(O868,-L868),"Invalid procurement method or date entered")</f>
        <v>Invalid procurement method or date entered</v>
      </c>
      <c r="O868" s="176">
        <v>44174</v>
      </c>
      <c r="P868" s="12">
        <v>60</v>
      </c>
      <c r="Q868" s="7" t="s">
        <v>143</v>
      </c>
      <c r="R868" s="18">
        <v>636804.12</v>
      </c>
      <c r="S868" s="193" t="s">
        <v>109</v>
      </c>
      <c r="T868" s="158" t="s">
        <v>41</v>
      </c>
      <c r="U868" s="176">
        <v>44172</v>
      </c>
      <c r="V868" s="176"/>
      <c r="W868" s="12" t="s">
        <v>1290</v>
      </c>
      <c r="X868" s="5" t="s">
        <v>1091</v>
      </c>
      <c r="Y868" s="5" t="s">
        <v>457</v>
      </c>
      <c r="Z868" s="5"/>
      <c r="AA868" s="12" t="s">
        <v>54</v>
      </c>
      <c r="AB868" s="193" t="s">
        <v>1082</v>
      </c>
      <c r="AC868" s="8" t="s">
        <v>3758</v>
      </c>
      <c r="AD868" s="74" t="s">
        <v>3759</v>
      </c>
      <c r="AE868" s="215">
        <v>127360.82</v>
      </c>
    </row>
    <row r="869" spans="1:32" s="1" customFormat="1" ht="72">
      <c r="A869" s="895"/>
      <c r="B869" s="303"/>
      <c r="C869" s="4"/>
      <c r="D869" s="30" t="s">
        <v>29</v>
      </c>
      <c r="E869" s="30"/>
      <c r="F869" s="30"/>
      <c r="G869" s="30"/>
      <c r="H869" s="5" t="s">
        <v>70</v>
      </c>
      <c r="I869" s="5" t="s">
        <v>34</v>
      </c>
      <c r="J869" s="16" t="s">
        <v>3423</v>
      </c>
      <c r="K869" s="8"/>
      <c r="L869" s="5" t="e">
        <f>IF(OR(S869=#REF!,S869=#REF!,S869=#REF!,S869=#REF!,S869=#REF!,S869=#REF!,S869=#REF!,S869=#REF!),12,IF(OR(S869=#REF!,S869=#REF!,S869=#REF!,S869=#REF!,S869=#REF!,S869=#REF!,S869=#REF!),3,IF(S869=#REF!,1,IF(S869=#REF!,18,IF(OR(S869=#REF!,S869=#REF!,S869=#REF!,S869=#REF!,S869=#REF!),14,"Invalid proposed procurement method")))))</f>
        <v>#REF!</v>
      </c>
      <c r="M869" s="193" t="str">
        <f>IFERROR(EDATE($N869,-3),"Invalid procurement method or date entered")</f>
        <v>Invalid procurement method or date entered</v>
      </c>
      <c r="N869" s="193" t="str">
        <f>IFERROR(EDATE(O869,-L869),"Invalid procurement method or date entered")</f>
        <v>Invalid procurement method or date entered</v>
      </c>
      <c r="O869" s="176">
        <v>44185</v>
      </c>
      <c r="P869" s="12">
        <v>12</v>
      </c>
      <c r="Q869" s="7" t="s">
        <v>108</v>
      </c>
      <c r="R869" s="39">
        <v>5000</v>
      </c>
      <c r="S869" s="5" t="s">
        <v>909</v>
      </c>
      <c r="T869" s="157" t="s">
        <v>54</v>
      </c>
      <c r="U869" s="66" t="s">
        <v>37</v>
      </c>
      <c r="V869" s="66"/>
      <c r="W869" s="5" t="s">
        <v>113</v>
      </c>
      <c r="X869" s="5" t="s">
        <v>35</v>
      </c>
      <c r="Y869" s="5" t="s">
        <v>59</v>
      </c>
      <c r="Z869" s="5"/>
      <c r="AA869" s="5" t="s">
        <v>41</v>
      </c>
      <c r="AB869" s="193" t="s">
        <v>1082</v>
      </c>
      <c r="AC869" s="8" t="s">
        <v>3185</v>
      </c>
      <c r="AD869" s="70" t="s">
        <v>3026</v>
      </c>
      <c r="AE869" s="158"/>
    </row>
    <row r="870" spans="1:32" s="1" customFormat="1" ht="15.6">
      <c r="A870" s="1061">
        <v>44974</v>
      </c>
      <c r="B870" s="1020" t="s">
        <v>210</v>
      </c>
      <c r="C870" s="1072" t="s">
        <v>3760</v>
      </c>
      <c r="D870" s="1021" t="s">
        <v>1360</v>
      </c>
      <c r="E870" s="1020" t="s">
        <v>210</v>
      </c>
      <c r="F870" s="1020" t="s">
        <v>190</v>
      </c>
      <c r="G870" s="1020" t="s">
        <v>190</v>
      </c>
      <c r="H870" s="1066" t="s">
        <v>190</v>
      </c>
      <c r="I870" s="1066" t="s">
        <v>190</v>
      </c>
      <c r="J870" s="1095" t="s">
        <v>3761</v>
      </c>
      <c r="K870" s="1072" t="s">
        <v>3762</v>
      </c>
      <c r="L870" s="1066" t="s">
        <v>190</v>
      </c>
      <c r="M870" s="1066" t="s">
        <v>190</v>
      </c>
      <c r="N870" s="1066" t="s">
        <v>190</v>
      </c>
      <c r="O870" s="1142">
        <v>44187</v>
      </c>
      <c r="P870" s="1142">
        <v>44551</v>
      </c>
      <c r="Q870" s="1075" t="s">
        <v>3763</v>
      </c>
      <c r="R870" s="1176">
        <v>56597</v>
      </c>
      <c r="S870" s="1021" t="s">
        <v>3764</v>
      </c>
      <c r="T870" s="1204" t="s">
        <v>190</v>
      </c>
      <c r="U870" s="1066" t="s">
        <v>190</v>
      </c>
      <c r="V870" s="1066"/>
      <c r="W870" s="1072" t="s">
        <v>3765</v>
      </c>
      <c r="X870" s="1072" t="s">
        <v>1346</v>
      </c>
      <c r="Y870" s="1072" t="s">
        <v>1266</v>
      </c>
      <c r="Z870" s="1066" t="s">
        <v>190</v>
      </c>
      <c r="AA870" s="1066" t="s">
        <v>190</v>
      </c>
      <c r="AB870" s="1066" t="s">
        <v>190</v>
      </c>
      <c r="AC870" s="1095" t="s">
        <v>3766</v>
      </c>
      <c r="AD870" s="1068" t="s">
        <v>190</v>
      </c>
      <c r="AE870" s="1254">
        <v>56597</v>
      </c>
      <c r="AF870"/>
    </row>
    <row r="871" spans="1:32" s="1" customFormat="1" ht="15.6">
      <c r="A871" s="1061">
        <v>44974</v>
      </c>
      <c r="B871" s="1020" t="s">
        <v>210</v>
      </c>
      <c r="C871" s="1072" t="s">
        <v>3760</v>
      </c>
      <c r="D871" s="1021" t="s">
        <v>209</v>
      </c>
      <c r="E871" s="1020" t="s">
        <v>210</v>
      </c>
      <c r="F871" s="1020" t="s">
        <v>190</v>
      </c>
      <c r="G871" s="1020" t="s">
        <v>190</v>
      </c>
      <c r="H871" s="1066" t="s">
        <v>190</v>
      </c>
      <c r="I871" s="1066" t="s">
        <v>190</v>
      </c>
      <c r="J871" s="1095" t="s">
        <v>3767</v>
      </c>
      <c r="K871" s="1072" t="s">
        <v>212</v>
      </c>
      <c r="L871" s="1066" t="s">
        <v>190</v>
      </c>
      <c r="M871" s="1066" t="s">
        <v>190</v>
      </c>
      <c r="N871" s="1066" t="s">
        <v>190</v>
      </c>
      <c r="O871" s="1142">
        <v>44187</v>
      </c>
      <c r="P871" s="1142">
        <v>44551</v>
      </c>
      <c r="Q871" s="1072" t="s">
        <v>3763</v>
      </c>
      <c r="R871" s="1176">
        <v>83016</v>
      </c>
      <c r="S871" s="1072" t="s">
        <v>3764</v>
      </c>
      <c r="T871" s="1204" t="s">
        <v>190</v>
      </c>
      <c r="U871" s="1066" t="s">
        <v>190</v>
      </c>
      <c r="V871" s="1066"/>
      <c r="W871" s="1072" t="s">
        <v>3765</v>
      </c>
      <c r="X871" s="1072" t="s">
        <v>1346</v>
      </c>
      <c r="Y871" s="1072" t="s">
        <v>1266</v>
      </c>
      <c r="Z871" s="1066" t="s">
        <v>190</v>
      </c>
      <c r="AA871" s="1066" t="s">
        <v>190</v>
      </c>
      <c r="AB871" s="1066" t="s">
        <v>190</v>
      </c>
      <c r="AC871" s="1095" t="s">
        <v>3766</v>
      </c>
      <c r="AD871" s="1068" t="s">
        <v>190</v>
      </c>
      <c r="AE871" s="1254">
        <v>83016</v>
      </c>
      <c r="AF871"/>
    </row>
    <row r="872" spans="1:32" s="1" customFormat="1" ht="172.8">
      <c r="A872" s="852"/>
      <c r="B872" s="303"/>
      <c r="C872" s="1327" t="s">
        <v>3768</v>
      </c>
      <c r="D872" s="30" t="s">
        <v>29</v>
      </c>
      <c r="E872" s="30"/>
      <c r="F872" s="30"/>
      <c r="G872" s="30"/>
      <c r="H872" s="5" t="s">
        <v>81</v>
      </c>
      <c r="I872" s="5" t="s">
        <v>64</v>
      </c>
      <c r="J872" s="16" t="s">
        <v>3427</v>
      </c>
      <c r="K872" s="16"/>
      <c r="L872" s="5" t="e">
        <f>IF(OR(S872=#REF!,S872=#REF!,S872=#REF!,S872=#REF!,S872=#REF!,S872=#REF!,S872=#REF!,S872=#REF!),12,IF(OR(S872=#REF!,S872=#REF!,S872=#REF!,S872=#REF!,S872=#REF!,S872=#REF!,S872=#REF!),3,IF(S872=#REF!,1,IF(S872=#REF!,18,IF(OR(S872=#REF!,S872=#REF!,S872=#REF!,S872=#REF!,S872=#REF!),14,"Invalid proposed procurement method")))))</f>
        <v>#REF!</v>
      </c>
      <c r="M872" s="193" t="str">
        <f>IFERROR(EDATE($N872,-3),"Invalid procurement method or date entered")</f>
        <v>Invalid procurement method or date entered</v>
      </c>
      <c r="N872" s="193" t="str">
        <f>IFERROR(EDATE(O872,-L872),"Invalid procurement method or date entered")</f>
        <v>Invalid procurement method or date entered</v>
      </c>
      <c r="O872" s="176">
        <v>44189</v>
      </c>
      <c r="P872" s="12">
        <v>18</v>
      </c>
      <c r="Q872" s="27" t="s">
        <v>3769</v>
      </c>
      <c r="R872" s="18">
        <v>126000</v>
      </c>
      <c r="S872" s="30" t="s">
        <v>66</v>
      </c>
      <c r="T872" s="165" t="s">
        <v>36</v>
      </c>
      <c r="U872" s="48" t="s">
        <v>37</v>
      </c>
      <c r="V872" s="48"/>
      <c r="W872" s="12" t="s">
        <v>3428</v>
      </c>
      <c r="X872" s="5" t="s">
        <v>1088</v>
      </c>
      <c r="Y872" s="5" t="s">
        <v>457</v>
      </c>
      <c r="Z872" s="5"/>
      <c r="AA872" s="5" t="s">
        <v>41</v>
      </c>
      <c r="AB872" s="193" t="s">
        <v>1250</v>
      </c>
      <c r="AC872" s="8" t="s">
        <v>3770</v>
      </c>
      <c r="AD872" s="70" t="s">
        <v>81</v>
      </c>
      <c r="AE872" s="215" t="s">
        <v>3771</v>
      </c>
    </row>
    <row r="873" spans="1:32" s="1" customFormat="1" ht="26.4">
      <c r="A873" s="852"/>
      <c r="B873" s="713" t="s">
        <v>48</v>
      </c>
      <c r="C873" s="476" t="s">
        <v>125</v>
      </c>
      <c r="D873" s="554" t="s">
        <v>29</v>
      </c>
      <c r="E873" s="554"/>
      <c r="F873" s="554"/>
      <c r="G873" s="554"/>
      <c r="H873" s="466" t="s">
        <v>2129</v>
      </c>
      <c r="I873" s="466" t="s">
        <v>64</v>
      </c>
      <c r="J873" s="1034" t="s">
        <v>2130</v>
      </c>
      <c r="K873" s="572"/>
      <c r="L873" s="573">
        <v>44075</v>
      </c>
      <c r="M873" s="573"/>
      <c r="N873" s="573"/>
      <c r="O873" s="573">
        <v>44189</v>
      </c>
      <c r="P873" s="476">
        <v>12</v>
      </c>
      <c r="Q873" s="232">
        <v>12</v>
      </c>
      <c r="R873" s="476" t="s">
        <v>125</v>
      </c>
      <c r="S873" s="784" t="s">
        <v>64</v>
      </c>
      <c r="T873" s="232" t="s">
        <v>125</v>
      </c>
      <c r="U873" s="476" t="s">
        <v>125</v>
      </c>
      <c r="V873" s="476"/>
      <c r="W873" s="484" t="s">
        <v>493</v>
      </c>
      <c r="X873" s="114"/>
      <c r="Y873" s="114"/>
      <c r="Z873" s="114"/>
      <c r="AA873" s="114"/>
      <c r="AB873" s="114"/>
      <c r="AC873" s="114"/>
      <c r="AD873"/>
      <c r="AE873" s="180"/>
      <c r="AF873" s="3"/>
    </row>
    <row r="874" spans="1:32" s="3" customFormat="1" ht="72" customHeight="1">
      <c r="A874" s="889"/>
      <c r="B874" s="57"/>
      <c r="C874" s="4" t="s">
        <v>35</v>
      </c>
      <c r="D874" s="31" t="s">
        <v>29</v>
      </c>
      <c r="E874" s="31"/>
      <c r="F874" s="31"/>
      <c r="G874" s="31"/>
      <c r="H874" s="5" t="s">
        <v>70</v>
      </c>
      <c r="I874" s="12" t="s">
        <v>34</v>
      </c>
      <c r="J874" s="16" t="s">
        <v>982</v>
      </c>
      <c r="K874" s="16"/>
      <c r="L874" s="5" t="e">
        <f>IF(OR(S874=#REF!,S874=#REF!,S874=#REF!,S874=#REF!,S874=#REF!,S874=#REF!,S874=#REF!,S874=#REF!),12,IF(OR(S874=#REF!,S874=#REF!,S874=#REF!,S874=#REF!,S874=#REF!,S874=#REF!,S874=#REF!),3,IF(S874=#REF!,1,IF(S874=#REF!,18,IF(OR(S874=#REF!,S874=#REF!,S874=#REF!,S874=#REF!,S874=#REF!),14,"Invalid proposed procurement method")))))</f>
        <v>#REF!</v>
      </c>
      <c r="M874" s="193" t="str">
        <f t="shared" ref="M874:M879" si="0">IFERROR(EDATE($N874,-3),"Invalid procurement method or date entered")</f>
        <v>Invalid procurement method or date entered</v>
      </c>
      <c r="N874" s="193" t="str">
        <f t="shared" ref="N874:N879" si="1">IFERROR(EDATE(O874,-L874),"Invalid procurement method or date entered")</f>
        <v>Invalid procurement method or date entered</v>
      </c>
      <c r="O874" s="176">
        <v>44194</v>
      </c>
      <c r="P874" s="12">
        <v>24</v>
      </c>
      <c r="Q874" s="25" t="s">
        <v>365</v>
      </c>
      <c r="R874" s="18">
        <v>6024</v>
      </c>
      <c r="S874" s="30" t="s">
        <v>163</v>
      </c>
      <c r="T874" s="26" t="s">
        <v>54</v>
      </c>
      <c r="U874" s="11" t="s">
        <v>37</v>
      </c>
      <c r="V874" s="11"/>
      <c r="W874" s="12" t="s">
        <v>301</v>
      </c>
      <c r="X874" s="5" t="s">
        <v>219</v>
      </c>
      <c r="Y874" s="5" t="s">
        <v>59</v>
      </c>
      <c r="Z874" s="5"/>
      <c r="AA874" s="5" t="s">
        <v>41</v>
      </c>
      <c r="AB874" s="193" t="s">
        <v>1250</v>
      </c>
      <c r="AC874" s="1448" t="s">
        <v>3772</v>
      </c>
      <c r="AD874" s="74" t="s">
        <v>3773</v>
      </c>
      <c r="AE874" s="215">
        <v>6325</v>
      </c>
      <c r="AF874" s="1"/>
    </row>
    <row r="875" spans="1:32" s="3" customFormat="1" ht="43.35" customHeight="1">
      <c r="A875" s="852"/>
      <c r="B875" s="57"/>
      <c r="C875" s="4" t="s">
        <v>35</v>
      </c>
      <c r="D875" s="31" t="s">
        <v>29</v>
      </c>
      <c r="E875" s="31"/>
      <c r="F875" s="31"/>
      <c r="G875" s="31"/>
      <c r="H875" s="5" t="s">
        <v>70</v>
      </c>
      <c r="I875" s="5" t="s">
        <v>34</v>
      </c>
      <c r="J875" s="16" t="s">
        <v>3774</v>
      </c>
      <c r="K875" s="8"/>
      <c r="L875" s="5" t="e">
        <f>IF(OR(S875=#REF!,S875=#REF!,S875=#REF!,S875=#REF!,S875=#REF!,S875=#REF!,S875=#REF!,S875=#REF!),12,IF(OR(S875=#REF!,S875=#REF!,S875=#REF!,S875=#REF!,S875=#REF!,S875=#REF!,S875=#REF!),3,IF(S875=#REF!,1,IF(S875=#REF!,18,IF(OR(S875=#REF!,S875=#REF!,S875=#REF!,S875=#REF!,S875=#REF!),14,"Invalid proposed procurement method")))))</f>
        <v>#REF!</v>
      </c>
      <c r="M875" s="193" t="str">
        <f t="shared" si="0"/>
        <v>Invalid procurement method or date entered</v>
      </c>
      <c r="N875" s="193" t="str">
        <f t="shared" si="1"/>
        <v>Invalid procurement method or date entered</v>
      </c>
      <c r="O875" s="14">
        <v>44196</v>
      </c>
      <c r="P875" s="12">
        <v>12</v>
      </c>
      <c r="Q875" s="26">
        <v>12</v>
      </c>
      <c r="R875" s="18">
        <v>15000</v>
      </c>
      <c r="S875" s="30" t="s">
        <v>109</v>
      </c>
      <c r="T875" s="26" t="s">
        <v>54</v>
      </c>
      <c r="U875" s="12" t="s">
        <v>37</v>
      </c>
      <c r="V875" s="12"/>
      <c r="W875" s="5" t="s">
        <v>3775</v>
      </c>
      <c r="X875" s="5" t="s">
        <v>219</v>
      </c>
      <c r="Y875" s="5" t="s">
        <v>39</v>
      </c>
      <c r="Z875" s="5"/>
      <c r="AA875" s="5" t="s">
        <v>41</v>
      </c>
      <c r="AB875" s="193" t="s">
        <v>1250</v>
      </c>
      <c r="AC875" s="32" t="s">
        <v>3776</v>
      </c>
      <c r="AD875" s="74" t="s">
        <v>3487</v>
      </c>
      <c r="AE875" s="236"/>
      <c r="AF875" s="1"/>
    </row>
    <row r="876" spans="1:32" s="1" customFormat="1" ht="72">
      <c r="A876" s="889"/>
      <c r="B876" s="57"/>
      <c r="C876" s="1351" t="s">
        <v>612</v>
      </c>
      <c r="D876" s="30" t="s">
        <v>29</v>
      </c>
      <c r="E876" s="30"/>
      <c r="F876" s="30"/>
      <c r="G876" s="30"/>
      <c r="H876" s="5" t="s">
        <v>81</v>
      </c>
      <c r="I876" s="1375" t="s">
        <v>34</v>
      </c>
      <c r="J876" s="1447" t="s">
        <v>613</v>
      </c>
      <c r="K876" s="1448"/>
      <c r="L876" s="5" t="e">
        <f>IF(OR(S876=#REF!,S876=#REF!,S876=#REF!,S876=#REF!,S876=#REF!,S876=#REF!,S876=#REF!,S876=#REF!),12,IF(OR(S876=#REF!,S876=#REF!,S876=#REF!,S876=#REF!,S876=#REF!,S876=#REF!,S876=#REF!),3,IF(S876=#REF!,1,IF(S876=#REF!,18,IF(OR(S876=#REF!,S876=#REF!,S876=#REF!,S876=#REF!,S876=#REF!),14,"Invalid proposed procurement method")))))</f>
        <v>#REF!</v>
      </c>
      <c r="M876" s="193" t="str">
        <f t="shared" si="0"/>
        <v>Invalid procurement method or date entered</v>
      </c>
      <c r="N876" s="193" t="str">
        <f t="shared" si="1"/>
        <v>Invalid procurement method or date entered</v>
      </c>
      <c r="O876" s="176">
        <v>44197</v>
      </c>
      <c r="P876" s="1375">
        <v>84</v>
      </c>
      <c r="Q876" s="1375" t="s">
        <v>863</v>
      </c>
      <c r="R876" s="18">
        <v>700000</v>
      </c>
      <c r="S876" s="1338" t="s">
        <v>98</v>
      </c>
      <c r="T876" s="26" t="s">
        <v>36</v>
      </c>
      <c r="U876" s="12" t="s">
        <v>37</v>
      </c>
      <c r="V876" s="12"/>
      <c r="W876" s="1375" t="s">
        <v>1288</v>
      </c>
      <c r="X876" s="43" t="s">
        <v>94</v>
      </c>
      <c r="Y876" s="5" t="s">
        <v>457</v>
      </c>
      <c r="Z876" s="5" t="s">
        <v>80</v>
      </c>
      <c r="AA876" s="5" t="s">
        <v>54</v>
      </c>
      <c r="AB876" s="193" t="s">
        <v>1269</v>
      </c>
      <c r="AC876" s="8" t="s">
        <v>3777</v>
      </c>
      <c r="AD876" s="70" t="s">
        <v>81</v>
      </c>
      <c r="AE876" s="215">
        <v>100000</v>
      </c>
      <c r="AF876" s="3"/>
    </row>
    <row r="877" spans="1:32" s="1" customFormat="1" ht="43.35" customHeight="1">
      <c r="A877" s="852"/>
      <c r="B877" s="141"/>
      <c r="C877" s="4" t="s">
        <v>3778</v>
      </c>
      <c r="D877" s="30" t="s">
        <v>29</v>
      </c>
      <c r="E877" s="30"/>
      <c r="F877" s="30"/>
      <c r="G877" s="30"/>
      <c r="H877" s="5" t="s">
        <v>70</v>
      </c>
      <c r="I877" s="5" t="s">
        <v>34</v>
      </c>
      <c r="J877" s="16" t="s">
        <v>3779</v>
      </c>
      <c r="K877" s="8"/>
      <c r="L877" s="5" t="e">
        <f>IF(OR(S877=#REF!,S877=#REF!,S877=#REF!,S877=#REF!,S877=#REF!,S877=#REF!,S877=#REF!,S877=#REF!),12,IF(OR(S877=#REF!,S877=#REF!,S877=#REF!,S877=#REF!,S877=#REF!,S877=#REF!,S877=#REF!),3,IF(S877=#REF!,1,IF(S877=#REF!,18,IF(OR(S877=#REF!,S877=#REF!,S877=#REF!,S877=#REF!,S877=#REF!),14,"Invalid proposed procurement method")))))</f>
        <v>#REF!</v>
      </c>
      <c r="M877" s="193" t="str">
        <f t="shared" si="0"/>
        <v>Invalid procurement method or date entered</v>
      </c>
      <c r="N877" s="193" t="str">
        <f t="shared" si="1"/>
        <v>Invalid procurement method or date entered</v>
      </c>
      <c r="O877" s="176">
        <v>44197</v>
      </c>
      <c r="P877" s="12">
        <v>36</v>
      </c>
      <c r="Q877" s="25" t="s">
        <v>488</v>
      </c>
      <c r="R877" s="39">
        <v>285138</v>
      </c>
      <c r="S877" s="1182" t="s">
        <v>109</v>
      </c>
      <c r="T877" s="162" t="s">
        <v>36</v>
      </c>
      <c r="U877" s="44" t="s">
        <v>37</v>
      </c>
      <c r="V877" s="44"/>
      <c r="W877" s="5" t="s">
        <v>1290</v>
      </c>
      <c r="X877" s="5" t="s">
        <v>1091</v>
      </c>
      <c r="Y877" s="5" t="s">
        <v>39</v>
      </c>
      <c r="Z877" s="5"/>
      <c r="AA877" s="12" t="s">
        <v>54</v>
      </c>
      <c r="AB877" s="193" t="s">
        <v>1250</v>
      </c>
      <c r="AC877" s="8" t="s">
        <v>3780</v>
      </c>
      <c r="AD877" s="74" t="s">
        <v>3759</v>
      </c>
      <c r="AE877" s="158"/>
    </row>
    <row r="878" spans="1:32" s="1" customFormat="1" ht="101.1" customHeight="1">
      <c r="A878" s="852"/>
      <c r="B878" s="141"/>
      <c r="C878" s="4" t="s">
        <v>35</v>
      </c>
      <c r="D878" s="31" t="s">
        <v>29</v>
      </c>
      <c r="E878" s="31"/>
      <c r="F878" s="31"/>
      <c r="G878" s="31"/>
      <c r="H878" s="5" t="s">
        <v>81</v>
      </c>
      <c r="I878" s="12" t="s">
        <v>34</v>
      </c>
      <c r="J878" s="16" t="s">
        <v>3781</v>
      </c>
      <c r="K878" s="16"/>
      <c r="L878" s="5" t="e">
        <f>IF(OR(S878=#REF!,S878=#REF!,S878=#REF!,S878=#REF!,S878=#REF!,S878=#REF!,S878=#REF!,S878=#REF!),12,IF(OR(S878=#REF!,S878=#REF!,S878=#REF!,S878=#REF!,S878=#REF!,S878=#REF!,S878=#REF!),3,IF(S878=#REF!,1,IF(S878=#REF!,18,IF(OR(S878=#REF!,S878=#REF!,S878=#REF!,S878=#REF!,S878=#REF!),14,"Invalid proposed procurement method")))))</f>
        <v>#REF!</v>
      </c>
      <c r="M878" s="193" t="str">
        <f t="shared" si="0"/>
        <v>Invalid procurement method or date entered</v>
      </c>
      <c r="N878" s="193" t="str">
        <f t="shared" si="1"/>
        <v>Invalid procurement method or date entered</v>
      </c>
      <c r="O878" s="176">
        <v>44197</v>
      </c>
      <c r="P878" s="12">
        <v>24</v>
      </c>
      <c r="Q878" s="25" t="s">
        <v>365</v>
      </c>
      <c r="R878" s="18">
        <v>20000</v>
      </c>
      <c r="S878" s="5" t="s">
        <v>163</v>
      </c>
      <c r="T878" s="26" t="s">
        <v>54</v>
      </c>
      <c r="U878" s="11" t="s">
        <v>37</v>
      </c>
      <c r="V878" s="11"/>
      <c r="W878" s="5" t="s">
        <v>3428</v>
      </c>
      <c r="X878" s="5" t="s">
        <v>175</v>
      </c>
      <c r="Y878" s="5" t="s">
        <v>59</v>
      </c>
      <c r="Z878" s="5"/>
      <c r="AA878" s="7" t="s">
        <v>54</v>
      </c>
      <c r="AB878" s="193" t="s">
        <v>1250</v>
      </c>
      <c r="AC878" s="111" t="s">
        <v>3782</v>
      </c>
      <c r="AD878" s="70" t="s">
        <v>81</v>
      </c>
      <c r="AE878" s="158">
        <v>10000</v>
      </c>
    </row>
    <row r="879" spans="1:32" s="1" customFormat="1" ht="115.35" customHeight="1">
      <c r="A879" s="852"/>
      <c r="B879" s="1350"/>
      <c r="C879" s="4" t="s">
        <v>3783</v>
      </c>
      <c r="D879" s="31" t="s">
        <v>29</v>
      </c>
      <c r="E879" s="31"/>
      <c r="F879" s="31"/>
      <c r="G879" s="31"/>
      <c r="H879" s="5" t="s">
        <v>1292</v>
      </c>
      <c r="I879" s="5" t="s">
        <v>34</v>
      </c>
      <c r="J879" s="16" t="s">
        <v>379</v>
      </c>
      <c r="K879" s="8"/>
      <c r="L879" s="5" t="e">
        <f>IF(OR(S879=#REF!,S879=#REF!,S879=#REF!,S879=#REF!,S879=#REF!,S879=#REF!,S879=#REF!,S879=#REF!),12,IF(OR(S879=#REF!,S879=#REF!,S879=#REF!,S879=#REF!,S879=#REF!,S879=#REF!,S879=#REF!),3,IF(S879=#REF!,1,IF(S879=#REF!,18,IF(OR(S879=#REF!,S879=#REF!,S879=#REF!,S879=#REF!,S879=#REF!),14,"Invalid proposed procurement method")))))</f>
        <v>#REF!</v>
      </c>
      <c r="M879" s="193" t="str">
        <f t="shared" si="0"/>
        <v>Invalid procurement method or date entered</v>
      </c>
      <c r="N879" s="193" t="str">
        <f t="shared" si="1"/>
        <v>Invalid procurement method or date entered</v>
      </c>
      <c r="O879" s="14">
        <v>44197</v>
      </c>
      <c r="P879" s="5">
        <v>60</v>
      </c>
      <c r="Q879" s="7" t="s">
        <v>3784</v>
      </c>
      <c r="R879" s="18">
        <v>130000</v>
      </c>
      <c r="S879" s="1338" t="s">
        <v>109</v>
      </c>
      <c r="T879" s="165" t="s">
        <v>36</v>
      </c>
      <c r="U879" s="48" t="s">
        <v>37</v>
      </c>
      <c r="V879" s="48"/>
      <c r="W879" s="5" t="s">
        <v>381</v>
      </c>
      <c r="X879" s="5" t="s">
        <v>3785</v>
      </c>
      <c r="Y879" s="5" t="s">
        <v>39</v>
      </c>
      <c r="Z879" s="5" t="s">
        <v>40</v>
      </c>
      <c r="AA879" s="5" t="s">
        <v>54</v>
      </c>
      <c r="AB879" s="193">
        <v>44431</v>
      </c>
      <c r="AC879" s="8" t="s">
        <v>3786</v>
      </c>
      <c r="AD879" s="70" t="s">
        <v>81</v>
      </c>
      <c r="AE879" s="215">
        <v>26000</v>
      </c>
    </row>
    <row r="880" spans="1:32" s="1" customFormat="1" ht="43.35" customHeight="1">
      <c r="A880" s="888"/>
      <c r="B880" s="141" t="s">
        <v>28</v>
      </c>
      <c r="C880" s="4"/>
      <c r="D880" s="112" t="s">
        <v>29</v>
      </c>
      <c r="E880" s="112"/>
      <c r="F880" s="112"/>
      <c r="G880" s="112"/>
      <c r="H880" s="5" t="s">
        <v>1143</v>
      </c>
      <c r="I880" s="5" t="s">
        <v>64</v>
      </c>
      <c r="J880" s="16" t="s">
        <v>3787</v>
      </c>
      <c r="K880" s="8"/>
      <c r="L880" s="8"/>
      <c r="M880" s="176">
        <v>43466</v>
      </c>
      <c r="N880" s="176"/>
      <c r="O880" s="176">
        <v>44197</v>
      </c>
      <c r="P880" s="12">
        <v>48</v>
      </c>
      <c r="Q880" s="25" t="s">
        <v>3414</v>
      </c>
      <c r="R880" s="18">
        <v>1000000</v>
      </c>
      <c r="S880" s="30" t="s">
        <v>66</v>
      </c>
      <c r="T880" s="157" t="s">
        <v>54</v>
      </c>
      <c r="U880" s="4"/>
      <c r="V880" s="4"/>
      <c r="W880" s="5" t="s">
        <v>3788</v>
      </c>
      <c r="X880" s="5" t="s">
        <v>150</v>
      </c>
      <c r="Y880" s="5" t="s">
        <v>457</v>
      </c>
      <c r="Z880" s="5"/>
      <c r="AA880" s="5"/>
      <c r="AB880" s="193">
        <v>43658</v>
      </c>
      <c r="AC880" s="8" t="s">
        <v>3789</v>
      </c>
      <c r="AE880" s="215"/>
    </row>
    <row r="881" spans="1:32" s="3" customFormat="1" ht="101.1" customHeight="1">
      <c r="A881" s="852"/>
      <c r="B881" s="713" t="s">
        <v>48</v>
      </c>
      <c r="C881" s="722" t="s">
        <v>2356</v>
      </c>
      <c r="D881" s="484" t="s">
        <v>60</v>
      </c>
      <c r="E881" s="484"/>
      <c r="F881" s="484"/>
      <c r="G881" s="484"/>
      <c r="H881" s="484" t="s">
        <v>127</v>
      </c>
      <c r="I881" s="467" t="s">
        <v>34</v>
      </c>
      <c r="J881" s="1024" t="s">
        <v>2392</v>
      </c>
      <c r="K881" s="467"/>
      <c r="L881" s="467"/>
      <c r="M881" s="467"/>
      <c r="N881" s="467"/>
      <c r="O881" s="552">
        <v>44197</v>
      </c>
      <c r="P881" s="466">
        <v>3</v>
      </c>
      <c r="Q881" s="771"/>
      <c r="R881" s="598">
        <v>185000</v>
      </c>
      <c r="S881" s="791" t="s">
        <v>129</v>
      </c>
      <c r="T881" s="807" t="s">
        <v>54</v>
      </c>
      <c r="U881" s="598" t="s">
        <v>43</v>
      </c>
      <c r="V881" s="598"/>
      <c r="W881" s="467" t="s">
        <v>1131</v>
      </c>
      <c r="X881" s="114"/>
      <c r="Y881" s="114"/>
      <c r="Z881" s="114"/>
      <c r="AA881" s="180"/>
      <c r="AB881" s="180"/>
      <c r="AC881" s="114"/>
      <c r="AD881"/>
      <c r="AE881" s="180"/>
      <c r="AF881" s="1"/>
    </row>
    <row r="882" spans="1:32" s="1" customFormat="1" ht="43.35" customHeight="1">
      <c r="A882" s="1061">
        <v>44974</v>
      </c>
      <c r="B882" s="1020" t="s">
        <v>210</v>
      </c>
      <c r="C882" s="1072" t="s">
        <v>3790</v>
      </c>
      <c r="D882" s="1021" t="s">
        <v>1150</v>
      </c>
      <c r="E882" s="1020" t="s">
        <v>210</v>
      </c>
      <c r="F882" s="1020" t="s">
        <v>190</v>
      </c>
      <c r="G882" s="1020" t="s">
        <v>190</v>
      </c>
      <c r="H882" s="1066" t="s">
        <v>190</v>
      </c>
      <c r="I882" s="1066" t="s">
        <v>190</v>
      </c>
      <c r="J882" s="1095" t="s">
        <v>3791</v>
      </c>
      <c r="K882" s="1072" t="s">
        <v>3792</v>
      </c>
      <c r="L882" s="1066" t="s">
        <v>190</v>
      </c>
      <c r="M882" s="1066" t="s">
        <v>190</v>
      </c>
      <c r="N882" s="1066" t="s">
        <v>190</v>
      </c>
      <c r="O882" s="1142">
        <v>44197</v>
      </c>
      <c r="P882" s="1142">
        <v>44926</v>
      </c>
      <c r="Q882" s="1142">
        <v>45657</v>
      </c>
      <c r="R882" s="1176">
        <v>117000</v>
      </c>
      <c r="S882" s="1072" t="s">
        <v>2604</v>
      </c>
      <c r="T882" s="1204" t="s">
        <v>190</v>
      </c>
      <c r="U882" s="1066" t="s">
        <v>190</v>
      </c>
      <c r="V882" s="1066"/>
      <c r="W882" s="1072" t="s">
        <v>3637</v>
      </c>
      <c r="X882" s="1072" t="s">
        <v>1346</v>
      </c>
      <c r="Y882" s="1072" t="s">
        <v>1266</v>
      </c>
      <c r="Z882" s="1066" t="s">
        <v>190</v>
      </c>
      <c r="AA882" s="1066" t="s">
        <v>190</v>
      </c>
      <c r="AB882" s="1066" t="s">
        <v>190</v>
      </c>
      <c r="AC882" s="1095" t="s">
        <v>3793</v>
      </c>
      <c r="AD882" s="1068" t="s">
        <v>190</v>
      </c>
      <c r="AE882" s="1254">
        <v>117000</v>
      </c>
      <c r="AF882"/>
    </row>
    <row r="883" spans="1:32" s="1" customFormat="1" ht="15.6">
      <c r="A883" s="1061">
        <v>44974</v>
      </c>
      <c r="B883" s="1020" t="s">
        <v>210</v>
      </c>
      <c r="C883" s="1072" t="s">
        <v>3794</v>
      </c>
      <c r="D883" s="1021" t="s">
        <v>1150</v>
      </c>
      <c r="E883" s="1020" t="s">
        <v>210</v>
      </c>
      <c r="F883" s="1020" t="s">
        <v>190</v>
      </c>
      <c r="G883" s="1020" t="s">
        <v>190</v>
      </c>
      <c r="H883" s="1066" t="s">
        <v>190</v>
      </c>
      <c r="I883" s="1066" t="s">
        <v>190</v>
      </c>
      <c r="J883" s="1095" t="s">
        <v>3791</v>
      </c>
      <c r="K883" s="1072" t="s">
        <v>3792</v>
      </c>
      <c r="L883" s="1066" t="s">
        <v>190</v>
      </c>
      <c r="M883" s="1066" t="s">
        <v>190</v>
      </c>
      <c r="N883" s="1066" t="s">
        <v>190</v>
      </c>
      <c r="O883" s="1142">
        <v>44197</v>
      </c>
      <c r="P883" s="1142">
        <v>44651</v>
      </c>
      <c r="Q883" s="1153">
        <v>45657</v>
      </c>
      <c r="R883" s="1176">
        <v>117000</v>
      </c>
      <c r="S883" s="1072" t="s">
        <v>2604</v>
      </c>
      <c r="T883" s="1204" t="s">
        <v>190</v>
      </c>
      <c r="U883" s="1066" t="s">
        <v>190</v>
      </c>
      <c r="V883" s="1066"/>
      <c r="W883" s="1072" t="s">
        <v>2542</v>
      </c>
      <c r="X883" s="1072" t="s">
        <v>1346</v>
      </c>
      <c r="Y883" s="1072" t="s">
        <v>1266</v>
      </c>
      <c r="Z883" s="1066" t="s">
        <v>190</v>
      </c>
      <c r="AA883" s="1066" t="s">
        <v>190</v>
      </c>
      <c r="AB883" s="1066" t="s">
        <v>190</v>
      </c>
      <c r="AC883" s="1095" t="s">
        <v>3795</v>
      </c>
      <c r="AD883" s="1068" t="s">
        <v>190</v>
      </c>
      <c r="AE883" s="1254">
        <v>117000</v>
      </c>
      <c r="AF883"/>
    </row>
    <row r="884" spans="1:32" s="1" customFormat="1" ht="14.4" customHeight="1">
      <c r="A884" s="889"/>
      <c r="B884" s="303"/>
      <c r="C884" s="4" t="s">
        <v>1276</v>
      </c>
      <c r="D884" s="8" t="s">
        <v>29</v>
      </c>
      <c r="E884" s="8"/>
      <c r="F884" s="8"/>
      <c r="G884" s="8"/>
      <c r="H884" s="5" t="s">
        <v>867</v>
      </c>
      <c r="I884" s="5" t="s">
        <v>64</v>
      </c>
      <c r="J884" s="16" t="s">
        <v>2708</v>
      </c>
      <c r="K884" s="16"/>
      <c r="L884" s="16">
        <v>6</v>
      </c>
      <c r="M884" s="193">
        <f>IFERROR(EDATE($N884,-3),"Invalid procurement method or date entered")</f>
        <v>43923</v>
      </c>
      <c r="N884" s="193">
        <f>IFERROR(EDATE(O884,-L884),"Invalid procurement method or date entered")</f>
        <v>44014</v>
      </c>
      <c r="O884" s="176">
        <v>44198</v>
      </c>
      <c r="P884" s="12">
        <v>48</v>
      </c>
      <c r="Q884" s="25" t="s">
        <v>3796</v>
      </c>
      <c r="R884" s="18">
        <v>80000</v>
      </c>
      <c r="S884" s="5" t="s">
        <v>66</v>
      </c>
      <c r="T884" s="27" t="s">
        <v>54</v>
      </c>
      <c r="U884" s="4"/>
      <c r="V884" s="4"/>
      <c r="W884" s="5" t="s">
        <v>2691</v>
      </c>
      <c r="X884" s="5" t="s">
        <v>1088</v>
      </c>
      <c r="Y884" s="5" t="s">
        <v>457</v>
      </c>
      <c r="Z884" s="5" t="s">
        <v>95</v>
      </c>
      <c r="AA884" s="26" t="s">
        <v>54</v>
      </c>
      <c r="AB884" s="42" t="s">
        <v>1269</v>
      </c>
      <c r="AC884" s="8"/>
      <c r="AD884" s="74" t="s">
        <v>42</v>
      </c>
      <c r="AE884" s="1466">
        <v>15828</v>
      </c>
    </row>
    <row r="885" spans="1:32" s="1" customFormat="1" ht="14.4" customHeight="1">
      <c r="A885" s="852"/>
      <c r="B885" s="713" t="s">
        <v>48</v>
      </c>
      <c r="C885" s="465" t="s">
        <v>125</v>
      </c>
      <c r="D885" s="554" t="s">
        <v>29</v>
      </c>
      <c r="E885" s="554"/>
      <c r="F885" s="554"/>
      <c r="G885" s="554"/>
      <c r="H885" s="466" t="s">
        <v>171</v>
      </c>
      <c r="I885" s="474" t="s">
        <v>34</v>
      </c>
      <c r="J885" s="1024" t="s">
        <v>2459</v>
      </c>
      <c r="K885" s="484"/>
      <c r="L885" s="466">
        <v>1</v>
      </c>
      <c r="M885" s="469">
        <f>IF(O885="tbc","",(IFERROR(EDATE($N885,-3),"Invalid procurement method or date entered")))</f>
        <v>44076</v>
      </c>
      <c r="N885" s="469">
        <f>IF(O885="tbc","",(IFERROR(EDATE(O885,-L885),"Invalid procurement method or date entered")))</f>
        <v>44167</v>
      </c>
      <c r="O885" s="470">
        <v>44198</v>
      </c>
      <c r="P885" s="471">
        <v>24</v>
      </c>
      <c r="Q885" s="761">
        <v>24</v>
      </c>
      <c r="R885" s="483">
        <f>2*82321</f>
        <v>164642</v>
      </c>
      <c r="S885" s="470" t="s">
        <v>163</v>
      </c>
      <c r="T885" s="803" t="s">
        <v>36</v>
      </c>
      <c r="U885" s="470" t="s">
        <v>125</v>
      </c>
      <c r="V885" s="470"/>
      <c r="W885" s="354" t="s">
        <v>41</v>
      </c>
      <c r="X885" s="114"/>
      <c r="Y885" s="114"/>
      <c r="Z885" s="114"/>
      <c r="AA885" s="114"/>
      <c r="AB885" s="114"/>
      <c r="AC885" s="114"/>
      <c r="AD885" s="303"/>
      <c r="AE885" s="180"/>
    </row>
    <row r="886" spans="1:32" s="1" customFormat="1" ht="43.35" customHeight="1">
      <c r="A886" s="1061">
        <v>44974</v>
      </c>
      <c r="B886" s="1020" t="s">
        <v>210</v>
      </c>
      <c r="C886" s="1072" t="s">
        <v>3797</v>
      </c>
      <c r="D886" s="1021" t="s">
        <v>2856</v>
      </c>
      <c r="E886" s="1020" t="s">
        <v>210</v>
      </c>
      <c r="F886" s="1020" t="s">
        <v>190</v>
      </c>
      <c r="G886" s="1020" t="s">
        <v>190</v>
      </c>
      <c r="H886" s="1066" t="s">
        <v>190</v>
      </c>
      <c r="I886" s="1066" t="s">
        <v>190</v>
      </c>
      <c r="J886" s="1095" t="s">
        <v>3798</v>
      </c>
      <c r="K886" s="1072" t="s">
        <v>3799</v>
      </c>
      <c r="L886" s="1066" t="s">
        <v>190</v>
      </c>
      <c r="M886" s="1066" t="s">
        <v>190</v>
      </c>
      <c r="N886" s="1066" t="s">
        <v>190</v>
      </c>
      <c r="O886" s="1142">
        <v>44203</v>
      </c>
      <c r="P886" s="1142">
        <v>44270</v>
      </c>
      <c r="Q886" s="1075" t="s">
        <v>100</v>
      </c>
      <c r="R886" s="1176">
        <v>34208</v>
      </c>
      <c r="S886" s="1072" t="s">
        <v>158</v>
      </c>
      <c r="T886" s="1204" t="s">
        <v>190</v>
      </c>
      <c r="U886" s="1066" t="s">
        <v>190</v>
      </c>
      <c r="V886" s="1066"/>
      <c r="W886" s="1072" t="s">
        <v>3800</v>
      </c>
      <c r="X886" s="1072" t="s">
        <v>1346</v>
      </c>
      <c r="Y886" s="1072" t="s">
        <v>1266</v>
      </c>
      <c r="Z886" s="1066" t="s">
        <v>190</v>
      </c>
      <c r="AA886" s="1066" t="s">
        <v>190</v>
      </c>
      <c r="AB886" s="1066" t="s">
        <v>190</v>
      </c>
      <c r="AC886" s="1095" t="s">
        <v>3801</v>
      </c>
      <c r="AD886" s="1020" t="s">
        <v>190</v>
      </c>
      <c r="AE886" s="1254">
        <v>34208</v>
      </c>
      <c r="AF886"/>
    </row>
    <row r="887" spans="1:32" s="1" customFormat="1" ht="43.35" customHeight="1">
      <c r="A887" s="1061">
        <v>44974</v>
      </c>
      <c r="B887" s="1020" t="s">
        <v>210</v>
      </c>
      <c r="C887" s="1072" t="s">
        <v>190</v>
      </c>
      <c r="D887" s="1021" t="s">
        <v>2856</v>
      </c>
      <c r="E887" s="1020" t="s">
        <v>210</v>
      </c>
      <c r="F887" s="1020" t="s">
        <v>190</v>
      </c>
      <c r="G887" s="1020" t="s">
        <v>190</v>
      </c>
      <c r="H887" s="1066" t="s">
        <v>190</v>
      </c>
      <c r="I887" s="1066" t="s">
        <v>190</v>
      </c>
      <c r="J887" s="1095" t="s">
        <v>3802</v>
      </c>
      <c r="K887" s="1072" t="s">
        <v>3799</v>
      </c>
      <c r="L887" s="1066" t="s">
        <v>190</v>
      </c>
      <c r="M887" s="1066" t="s">
        <v>190</v>
      </c>
      <c r="N887" s="1066" t="s">
        <v>190</v>
      </c>
      <c r="O887" s="1142">
        <v>44203</v>
      </c>
      <c r="P887" s="1142">
        <v>44328</v>
      </c>
      <c r="Q887" s="1075" t="s">
        <v>43</v>
      </c>
      <c r="R887" s="1176">
        <v>85000</v>
      </c>
      <c r="S887" s="1072" t="s">
        <v>158</v>
      </c>
      <c r="T887" s="1204" t="s">
        <v>190</v>
      </c>
      <c r="U887" s="1066" t="s">
        <v>190</v>
      </c>
      <c r="V887" s="1066"/>
      <c r="W887" s="1072" t="s">
        <v>3803</v>
      </c>
      <c r="X887" s="1072" t="s">
        <v>1346</v>
      </c>
      <c r="Y887" s="1072" t="s">
        <v>1266</v>
      </c>
      <c r="Z887" s="1066" t="s">
        <v>190</v>
      </c>
      <c r="AA887" s="1066" t="s">
        <v>190</v>
      </c>
      <c r="AB887" s="1066" t="s">
        <v>190</v>
      </c>
      <c r="AC887" s="1095" t="s">
        <v>3804</v>
      </c>
      <c r="AD887" s="1020" t="s">
        <v>190</v>
      </c>
      <c r="AE887" s="1254">
        <v>85000</v>
      </c>
      <c r="AF887"/>
    </row>
    <row r="888" spans="1:32" s="1" customFormat="1" ht="14.4" customHeight="1">
      <c r="A888" s="889"/>
      <c r="B888" s="303"/>
      <c r="C888" s="4" t="s">
        <v>3314</v>
      </c>
      <c r="D888" s="31" t="s">
        <v>29</v>
      </c>
      <c r="E888" s="31"/>
      <c r="F888" s="31"/>
      <c r="G888" s="31"/>
      <c r="H888" s="5" t="s">
        <v>1143</v>
      </c>
      <c r="I888" s="5" t="s">
        <v>64</v>
      </c>
      <c r="J888" s="185" t="s">
        <v>3787</v>
      </c>
      <c r="K888" s="69"/>
      <c r="L888" s="5" t="e">
        <f>IF(OR(S888=#REF!,S888=#REF!,S888=#REF!,S888=#REF!,S888=#REF!,S888=#REF!,S888=#REF!,S888=#REF!),12,IF(OR(S888=#REF!,S888=#REF!,S888=#REF!,S888=#REF!,S888=#REF!,S888=#REF!,S888=#REF!),3,IF(S888=#REF!,1,IF(S888=#REF!,18,IF(OR(S888=#REF!,S888=#REF!,S888=#REF!,S888=#REF!,S888=#REF!),14,"Invalid proposed procurement method")))))</f>
        <v>#REF!</v>
      </c>
      <c r="M888" s="193" t="str">
        <f>IFERROR(EDATE($N888,-3),"Invalid procurement method or date entered")</f>
        <v>Invalid procurement method or date entered</v>
      </c>
      <c r="N888" s="193" t="str">
        <f>IFERROR(EDATE(O888,-L888),"Invalid procurement method or date entered")</f>
        <v>Invalid procurement method or date entered</v>
      </c>
      <c r="O888" s="176">
        <v>44210</v>
      </c>
      <c r="P888" s="12">
        <v>48</v>
      </c>
      <c r="Q888" s="7" t="s">
        <v>1061</v>
      </c>
      <c r="R888" s="18">
        <v>440000</v>
      </c>
      <c r="S888" s="5" t="s">
        <v>66</v>
      </c>
      <c r="T888" s="161" t="s">
        <v>41</v>
      </c>
      <c r="U888" s="203">
        <v>44089</v>
      </c>
      <c r="V888" s="203"/>
      <c r="W888" s="5" t="s">
        <v>3627</v>
      </c>
      <c r="X888" s="43" t="s">
        <v>68</v>
      </c>
      <c r="Y888" s="5" t="s">
        <v>457</v>
      </c>
      <c r="Z888" s="5"/>
      <c r="AA888" s="5" t="s">
        <v>41</v>
      </c>
      <c r="AB888" s="193" t="s">
        <v>1082</v>
      </c>
      <c r="AC888" s="8" t="s">
        <v>3805</v>
      </c>
      <c r="AD888" s="20" t="s">
        <v>42</v>
      </c>
      <c r="AE888" s="215">
        <v>110000</v>
      </c>
    </row>
    <row r="889" spans="1:32" s="1" customFormat="1" ht="14.4" customHeight="1">
      <c r="A889" s="1061">
        <v>44974</v>
      </c>
      <c r="B889" s="1020" t="s">
        <v>210</v>
      </c>
      <c r="C889" s="1072" t="s">
        <v>190</v>
      </c>
      <c r="D889" s="1021" t="s">
        <v>355</v>
      </c>
      <c r="E889" s="1020" t="s">
        <v>210</v>
      </c>
      <c r="F889" s="1020" t="s">
        <v>190</v>
      </c>
      <c r="G889" s="1020" t="s">
        <v>190</v>
      </c>
      <c r="H889" s="1066" t="s">
        <v>190</v>
      </c>
      <c r="I889" s="1066" t="s">
        <v>190</v>
      </c>
      <c r="J889" s="1095" t="s">
        <v>3806</v>
      </c>
      <c r="K889" s="1072" t="s">
        <v>3807</v>
      </c>
      <c r="L889" s="1066" t="s">
        <v>190</v>
      </c>
      <c r="M889" s="1066" t="s">
        <v>190</v>
      </c>
      <c r="N889" s="1066" t="s">
        <v>190</v>
      </c>
      <c r="O889" s="1142">
        <v>44217</v>
      </c>
      <c r="P889" s="1142">
        <v>44561</v>
      </c>
      <c r="Q889" s="1072" t="s">
        <v>100</v>
      </c>
      <c r="R889" s="1176">
        <v>8250</v>
      </c>
      <c r="S889" s="1072" t="s">
        <v>158</v>
      </c>
      <c r="T889" s="1204" t="s">
        <v>190</v>
      </c>
      <c r="U889" s="1066" t="s">
        <v>190</v>
      </c>
      <c r="V889" s="1066"/>
      <c r="W889" s="1072" t="s">
        <v>3808</v>
      </c>
      <c r="X889" s="1072" t="s">
        <v>1346</v>
      </c>
      <c r="Y889" s="1072" t="s">
        <v>1266</v>
      </c>
      <c r="Z889" s="1066" t="s">
        <v>190</v>
      </c>
      <c r="AA889" s="1066" t="s">
        <v>190</v>
      </c>
      <c r="AB889" s="1066" t="s">
        <v>190</v>
      </c>
      <c r="AC889" s="1095" t="s">
        <v>3809</v>
      </c>
      <c r="AD889" s="1020" t="s">
        <v>190</v>
      </c>
      <c r="AE889" s="1254">
        <v>8250</v>
      </c>
      <c r="AF889"/>
    </row>
    <row r="890" spans="1:32" s="34" customFormat="1" ht="29.1" customHeight="1">
      <c r="A890" s="888"/>
      <c r="B890" s="1350"/>
      <c r="C890" s="1365" t="s">
        <v>3810</v>
      </c>
      <c r="D890" s="5" t="s">
        <v>29</v>
      </c>
      <c r="E890" s="5"/>
      <c r="F890" s="5"/>
      <c r="G890" s="5"/>
      <c r="H890" s="5" t="s">
        <v>364</v>
      </c>
      <c r="I890" s="1330" t="s">
        <v>34</v>
      </c>
      <c r="J890" s="1339" t="s">
        <v>3811</v>
      </c>
      <c r="K890" s="1327"/>
      <c r="L890" s="5" t="e">
        <f>IF(OR(S890=#REF!,S890=#REF!,S890=#REF!,S890=#REF!,S890=#REF!,S890=#REF!,S890=#REF!,S890=#REF!),12,IF(OR(S890=#REF!,S890=#REF!,S890=#REF!,S890=#REF!,S890=#REF!,S890=#REF!,S890=#REF!),3,IF(S890=#REF!,1,IF(S890=#REF!,18,IF(OR(S890=#REF!,S890=#REF!,S890=#REF!,S890=#REF!,S890=#REF!),14,"Invalid proposed procurement method")))))</f>
        <v>#REF!</v>
      </c>
      <c r="M890" s="193" t="str">
        <f>IFERROR(EDATE($N890,-3),"Invalid procurement method or date entered")</f>
        <v>Invalid procurement method or date entered</v>
      </c>
      <c r="N890" s="193" t="str">
        <f>IFERROR(EDATE(O890,-L890),"Invalid procurement method or date entered")</f>
        <v>Invalid procurement method or date entered</v>
      </c>
      <c r="O890" s="1329">
        <v>44223</v>
      </c>
      <c r="P890" s="1359">
        <v>18</v>
      </c>
      <c r="Q890" s="1335">
        <v>18</v>
      </c>
      <c r="R890" s="18">
        <v>22000</v>
      </c>
      <c r="S890" s="5" t="s">
        <v>909</v>
      </c>
      <c r="T890" s="163" t="s">
        <v>54</v>
      </c>
      <c r="U890" s="50" t="s">
        <v>37</v>
      </c>
      <c r="V890" s="50"/>
      <c r="W890" s="1330" t="s">
        <v>1309</v>
      </c>
      <c r="X890" s="1330" t="s">
        <v>94</v>
      </c>
      <c r="Y890" s="5" t="s">
        <v>457</v>
      </c>
      <c r="Z890" s="5"/>
      <c r="AA890" s="1330" t="s">
        <v>41</v>
      </c>
      <c r="AB890" s="193" t="s">
        <v>1250</v>
      </c>
      <c r="AC890" s="54" t="s">
        <v>3454</v>
      </c>
      <c r="AD890" s="30" t="s">
        <v>134</v>
      </c>
      <c r="AE890" s="232"/>
      <c r="AF890" s="1"/>
    </row>
    <row r="891" spans="1:32" s="1" customFormat="1" ht="43.35" customHeight="1">
      <c r="A891" s="889"/>
      <c r="B891" s="303"/>
      <c r="C891" s="194" t="s">
        <v>1337</v>
      </c>
      <c r="D891" s="30"/>
      <c r="E891" s="30"/>
      <c r="F891" s="30"/>
      <c r="G891" s="30"/>
      <c r="H891" s="5" t="s">
        <v>45</v>
      </c>
      <c r="I891" s="12" t="s">
        <v>34</v>
      </c>
      <c r="J891" s="16" t="s">
        <v>992</v>
      </c>
      <c r="K891" s="16"/>
      <c r="L891" s="5" t="e">
        <f>IF(OR(S891=#REF!,S891=#REF!,S891=#REF!,S891=#REF!,S891=#REF!,S891=#REF!,S891=#REF!,S891=#REF!),12,IF(OR(S891=#REF!,S891=#REF!,S891=#REF!,S891=#REF!,S891=#REF!,S891=#REF!,S891=#REF!),3,IF(S891=#REF!,1,IF(S891=#REF!,18,IF(OR(S891=#REF!,S891=#REF!,S891=#REF!,S891=#REF!,S891=#REF!),14,"Invalid proposed procurement method")))))</f>
        <v>#REF!</v>
      </c>
      <c r="M891" s="193" t="str">
        <f>IFERROR(EDATE($N891,-3),"Invalid procurement method or date entered")</f>
        <v>Invalid procurement method or date entered</v>
      </c>
      <c r="N891" s="193" t="str">
        <f>IFERROR(EDATE(O891,-L891),"Invalid procurement method or date entered")</f>
        <v>Invalid procurement method or date entered</v>
      </c>
      <c r="O891" s="176">
        <v>44226</v>
      </c>
      <c r="P891" s="12">
        <v>36</v>
      </c>
      <c r="Q891" s="7" t="s">
        <v>236</v>
      </c>
      <c r="R891" s="18">
        <v>69000</v>
      </c>
      <c r="S891" s="5" t="s">
        <v>173</v>
      </c>
      <c r="T891" s="26" t="s">
        <v>54</v>
      </c>
      <c r="U891" s="12" t="s">
        <v>37</v>
      </c>
      <c r="V891" s="12"/>
      <c r="W891" s="12" t="s">
        <v>3812</v>
      </c>
      <c r="X891" s="5" t="s">
        <v>1119</v>
      </c>
      <c r="Y891" s="5" t="s">
        <v>39</v>
      </c>
      <c r="Z891" s="5"/>
      <c r="AA891" s="5" t="s">
        <v>41</v>
      </c>
      <c r="AB891" s="193" t="s">
        <v>1250</v>
      </c>
      <c r="AC891" s="8" t="s">
        <v>3813</v>
      </c>
      <c r="AD891" s="20" t="s">
        <v>45</v>
      </c>
      <c r="AE891" s="215"/>
    </row>
    <row r="892" spans="1:32" ht="43.2">
      <c r="A892" s="889"/>
      <c r="B892" s="4"/>
      <c r="C892" s="4" t="s">
        <v>3814</v>
      </c>
      <c r="D892" s="9" t="s">
        <v>29</v>
      </c>
      <c r="E892" s="9"/>
      <c r="F892" s="9"/>
      <c r="G892" s="9"/>
      <c r="H892" s="5" t="s">
        <v>70</v>
      </c>
      <c r="I892" s="5" t="s">
        <v>34</v>
      </c>
      <c r="J892" s="16" t="s">
        <v>939</v>
      </c>
      <c r="K892" s="8"/>
      <c r="L892" s="5">
        <v>24</v>
      </c>
      <c r="M892" s="193">
        <f>IFERROR(EDATE($N892,-3),"Invalid procurement method or date entered")</f>
        <v>43405</v>
      </c>
      <c r="N892" s="193">
        <f>IFERROR(EDATE(O892,-L892),"Invalid procurement method or date entered")</f>
        <v>43497</v>
      </c>
      <c r="O892" s="193">
        <v>44228</v>
      </c>
      <c r="P892" s="5">
        <v>48</v>
      </c>
      <c r="Q892" s="7" t="s">
        <v>648</v>
      </c>
      <c r="R892" s="39">
        <v>1840035</v>
      </c>
      <c r="S892" s="193" t="s">
        <v>109</v>
      </c>
      <c r="T892" s="49" t="s">
        <v>41</v>
      </c>
      <c r="U892" s="203">
        <v>44211</v>
      </c>
      <c r="V892" s="203"/>
      <c r="W892" s="5" t="s">
        <v>1290</v>
      </c>
      <c r="X892" s="74" t="s">
        <v>1091</v>
      </c>
      <c r="Y892" s="74" t="s">
        <v>457</v>
      </c>
      <c r="Z892" s="74"/>
      <c r="AA892" s="74" t="s">
        <v>41</v>
      </c>
      <c r="AB892" s="316" t="s">
        <v>1250</v>
      </c>
      <c r="AC892" s="95" t="s">
        <v>3815</v>
      </c>
      <c r="AD892" s="74" t="s">
        <v>3744</v>
      </c>
      <c r="AE892" s="204">
        <v>455987</v>
      </c>
      <c r="AF892" s="1"/>
    </row>
    <row r="893" spans="1:32" ht="72">
      <c r="A893" s="888"/>
      <c r="B893" s="4"/>
      <c r="C893" s="4" t="s">
        <v>3816</v>
      </c>
      <c r="D893" s="9" t="s">
        <v>29</v>
      </c>
      <c r="E893" s="9"/>
      <c r="F893" s="9"/>
      <c r="G893" s="9"/>
      <c r="H893" s="5" t="s">
        <v>563</v>
      </c>
      <c r="I893" s="5" t="s">
        <v>64</v>
      </c>
      <c r="J893" s="185" t="s">
        <v>564</v>
      </c>
      <c r="K893" s="69"/>
      <c r="L893" s="5" t="e">
        <f>IF(OR(S893=#REF!,S893=#REF!,S893=#REF!,S893=#REF!,S893=#REF!,S893=#REF!,S893=#REF!,S893=#REF!),12,IF(OR(S893=#REF!,S893=#REF!,S893=#REF!,S893=#REF!,S893=#REF!,S893=#REF!,S893=#REF!),3,IF(S893=#REF!,1,IF(S893=#REF!,18,IF(OR(S893=#REF!,S893=#REF!,S893=#REF!,S893=#REF!,S893=#REF!),14,"Invalid proposed procurement method")))))</f>
        <v>#REF!</v>
      </c>
      <c r="M893" s="193" t="str">
        <f>IFERROR(EDATE($N893,-3),"Invalid procurement method or date entered")</f>
        <v>Invalid procurement method or date entered</v>
      </c>
      <c r="N893" s="193" t="str">
        <f>IFERROR(EDATE(O893,-L893),"Invalid procurement method or date entered")</f>
        <v>Invalid procurement method or date entered</v>
      </c>
      <c r="O893" s="193">
        <v>44228</v>
      </c>
      <c r="P893" s="5">
        <v>60</v>
      </c>
      <c r="Q893" s="5" t="s">
        <v>3817</v>
      </c>
      <c r="R893" s="18">
        <v>740000</v>
      </c>
      <c r="S893" s="5" t="s">
        <v>46</v>
      </c>
      <c r="T893" s="49" t="s">
        <v>41</v>
      </c>
      <c r="U893" s="203">
        <v>44089</v>
      </c>
      <c r="V893" s="203"/>
      <c r="W893" s="5" t="s">
        <v>3818</v>
      </c>
      <c r="X893" s="819" t="s">
        <v>68</v>
      </c>
      <c r="Y893" s="74" t="s">
        <v>457</v>
      </c>
      <c r="Z893" s="74"/>
      <c r="AA893" s="74" t="s">
        <v>41</v>
      </c>
      <c r="AB893" s="316" t="s">
        <v>1082</v>
      </c>
      <c r="AC893" s="95" t="s">
        <v>3819</v>
      </c>
      <c r="AD893" s="70" t="s">
        <v>42</v>
      </c>
      <c r="AE893" s="204">
        <v>148000</v>
      </c>
      <c r="AF893" s="1"/>
    </row>
    <row r="894" spans="1:32" ht="28.8">
      <c r="A894" s="889"/>
      <c r="B894" s="4"/>
      <c r="C894" s="4" t="s">
        <v>35</v>
      </c>
      <c r="D894" s="9" t="s">
        <v>29</v>
      </c>
      <c r="E894" s="9"/>
      <c r="F894" s="9"/>
      <c r="G894" s="9"/>
      <c r="H894" s="5" t="s">
        <v>70</v>
      </c>
      <c r="I894" s="5" t="s">
        <v>34</v>
      </c>
      <c r="J894" s="1035" t="s">
        <v>1215</v>
      </c>
      <c r="K894" s="61"/>
      <c r="L894" s="5">
        <v>6</v>
      </c>
      <c r="M894" s="193">
        <f>IFERROR(EDATE($N894,-3),"Invalid procurement method or date entered")</f>
        <v>43952</v>
      </c>
      <c r="N894" s="193">
        <f>IFERROR(EDATE(O894,-L894),"Invalid procurement method or date entered")</f>
        <v>44044</v>
      </c>
      <c r="O894" s="176">
        <v>44228</v>
      </c>
      <c r="P894" s="12">
        <v>12</v>
      </c>
      <c r="Q894" s="12">
        <v>12</v>
      </c>
      <c r="R894" s="18">
        <v>2500</v>
      </c>
      <c r="S894" s="5" t="s">
        <v>909</v>
      </c>
      <c r="T894" s="49" t="s">
        <v>54</v>
      </c>
      <c r="U894" s="45" t="s">
        <v>37</v>
      </c>
      <c r="V894" s="45"/>
      <c r="W894" s="12" t="s">
        <v>301</v>
      </c>
      <c r="X894" s="819" t="s">
        <v>73</v>
      </c>
      <c r="Y894" s="74" t="s">
        <v>39</v>
      </c>
      <c r="Z894" s="74" t="s">
        <v>95</v>
      </c>
      <c r="AA894" s="74" t="s">
        <v>54</v>
      </c>
      <c r="AB894" s="316" t="s">
        <v>1269</v>
      </c>
      <c r="AC894" s="847" t="s">
        <v>3820</v>
      </c>
      <c r="AD894" s="74" t="s">
        <v>450</v>
      </c>
      <c r="AE894" s="204"/>
      <c r="AF894" s="1"/>
    </row>
    <row r="895" spans="1:32" ht="28.8">
      <c r="A895" s="888"/>
      <c r="B895" s="4"/>
      <c r="C895" s="4" t="s">
        <v>3821</v>
      </c>
      <c r="D895" s="5" t="s">
        <v>60</v>
      </c>
      <c r="E895" s="5"/>
      <c r="F895" s="5"/>
      <c r="G895" s="5"/>
      <c r="H895" s="5" t="s">
        <v>171</v>
      </c>
      <c r="I895" s="5" t="s">
        <v>34</v>
      </c>
      <c r="J895" s="16" t="s">
        <v>547</v>
      </c>
      <c r="K895" s="16"/>
      <c r="L895" s="16"/>
      <c r="M895" s="193">
        <v>43867</v>
      </c>
      <c r="N895" s="193"/>
      <c r="O895" s="193">
        <v>44228</v>
      </c>
      <c r="P895" s="5">
        <v>9</v>
      </c>
      <c r="Q895" s="7" t="s">
        <v>3822</v>
      </c>
      <c r="R895" s="39">
        <v>60000</v>
      </c>
      <c r="S895" s="5" t="s">
        <v>109</v>
      </c>
      <c r="T895" s="44" t="s">
        <v>36</v>
      </c>
      <c r="U895" s="44" t="s">
        <v>37</v>
      </c>
      <c r="V895" s="44"/>
      <c r="W895" s="5" t="s">
        <v>174</v>
      </c>
      <c r="X895" s="74" t="s">
        <v>90</v>
      </c>
      <c r="Y895" s="74" t="s">
        <v>39</v>
      </c>
      <c r="Z895" s="74"/>
      <c r="AA895" s="74"/>
      <c r="AB895" s="316" t="s">
        <v>3429</v>
      </c>
      <c r="AC895" s="95" t="s">
        <v>3823</v>
      </c>
      <c r="AD895" s="70" t="s">
        <v>171</v>
      </c>
      <c r="AE895" s="204">
        <v>80000</v>
      </c>
      <c r="AF895" s="1"/>
    </row>
    <row r="896" spans="1:32" ht="66">
      <c r="A896" s="852"/>
      <c r="B896" s="520" t="s">
        <v>48</v>
      </c>
      <c r="C896" s="465" t="s">
        <v>125</v>
      </c>
      <c r="D896" s="466" t="s">
        <v>60</v>
      </c>
      <c r="E896" s="466"/>
      <c r="F896" s="466"/>
      <c r="G896" s="466"/>
      <c r="H896" s="466" t="s">
        <v>127</v>
      </c>
      <c r="I896" s="474" t="s">
        <v>34</v>
      </c>
      <c r="J896" s="1024" t="s">
        <v>2211</v>
      </c>
      <c r="K896" s="467"/>
      <c r="L896" s="467"/>
      <c r="M896" s="466">
        <v>1</v>
      </c>
      <c r="N896" s="469" t="str">
        <f>IF(O896="tbc","",(IFERROR(EDATE(#REF!,-3),"Invalid procurement method or date entered")))</f>
        <v>Invalid procurement method or date entered</v>
      </c>
      <c r="O896" s="470">
        <v>44228</v>
      </c>
      <c r="P896" s="485" t="s">
        <v>125</v>
      </c>
      <c r="Q896" s="485" t="s">
        <v>125</v>
      </c>
      <c r="R896" s="483">
        <v>25000</v>
      </c>
      <c r="S896" s="470" t="s">
        <v>163</v>
      </c>
      <c r="T896" s="470" t="s">
        <v>36</v>
      </c>
      <c r="U896" s="470" t="s">
        <v>125</v>
      </c>
      <c r="V896" s="470"/>
      <c r="W896" s="474" t="s">
        <v>1487</v>
      </c>
      <c r="AF896" s="1"/>
    </row>
    <row r="897" spans="1:32" ht="66">
      <c r="A897" s="852"/>
      <c r="B897" s="520" t="s">
        <v>48</v>
      </c>
      <c r="C897" s="465" t="s">
        <v>2247</v>
      </c>
      <c r="D897" s="466" t="s">
        <v>60</v>
      </c>
      <c r="E897" s="466"/>
      <c r="F897" s="466"/>
      <c r="G897" s="466"/>
      <c r="H897" s="466" t="s">
        <v>127</v>
      </c>
      <c r="I897" s="465" t="s">
        <v>34</v>
      </c>
      <c r="J897" s="1025" t="s">
        <v>2248</v>
      </c>
      <c r="K897" s="488"/>
      <c r="L897" s="488"/>
      <c r="M897" s="466">
        <v>3</v>
      </c>
      <c r="N897" s="469" t="str">
        <f>IF(O897="tbc","",(IFERROR(EDATE(#REF!,-3),"Invalid procurement method or date entered")))</f>
        <v>Invalid procurement method or date entered</v>
      </c>
      <c r="O897" s="489">
        <v>44228</v>
      </c>
      <c r="P897" s="490">
        <v>1</v>
      </c>
      <c r="Q897" s="490">
        <v>1</v>
      </c>
      <c r="R897" s="483">
        <v>25000</v>
      </c>
      <c r="S897" s="465" t="s">
        <v>163</v>
      </c>
      <c r="T897" s="470" t="s">
        <v>36</v>
      </c>
      <c r="U897" s="470" t="s">
        <v>125</v>
      </c>
      <c r="V897" s="470"/>
      <c r="W897" s="465" t="s">
        <v>1772</v>
      </c>
      <c r="AF897" s="1"/>
    </row>
    <row r="898" spans="1:32" ht="66">
      <c r="A898" s="852"/>
      <c r="B898" s="520" t="s">
        <v>48</v>
      </c>
      <c r="C898" s="465" t="s">
        <v>125</v>
      </c>
      <c r="D898" s="466" t="s">
        <v>82</v>
      </c>
      <c r="E898" s="466"/>
      <c r="F898" s="466"/>
      <c r="G898" s="466"/>
      <c r="H898" s="466" t="s">
        <v>49</v>
      </c>
      <c r="I898" s="474" t="s">
        <v>34</v>
      </c>
      <c r="J898" s="1024" t="s">
        <v>2258</v>
      </c>
      <c r="K898" s="467"/>
      <c r="L898" s="467"/>
      <c r="M898" s="466">
        <v>12</v>
      </c>
      <c r="N898" s="469" t="str">
        <f>IF(O898="tbc","",(IFERROR(EDATE(#REF!,-3),"Invalid procurement method or date entered")))</f>
        <v>Invalid procurement method or date entered</v>
      </c>
      <c r="O898" s="470">
        <v>44228</v>
      </c>
      <c r="P898" s="471">
        <v>7</v>
      </c>
      <c r="Q898" s="471">
        <v>7</v>
      </c>
      <c r="R898" s="483">
        <v>995000</v>
      </c>
      <c r="S898" s="470" t="s">
        <v>173</v>
      </c>
      <c r="T898" s="470" t="s">
        <v>144</v>
      </c>
      <c r="U898" s="470" t="s">
        <v>125</v>
      </c>
      <c r="V898" s="470"/>
      <c r="W898" s="474" t="s">
        <v>2259</v>
      </c>
      <c r="AF898" s="34"/>
    </row>
    <row r="899" spans="1:32" ht="66">
      <c r="A899" s="852"/>
      <c r="B899" s="520" t="s">
        <v>48</v>
      </c>
      <c r="C899" s="465" t="s">
        <v>2260</v>
      </c>
      <c r="D899" s="466" t="s">
        <v>60</v>
      </c>
      <c r="E899" s="466"/>
      <c r="F899" s="466"/>
      <c r="G899" s="466"/>
      <c r="H899" s="466" t="s">
        <v>127</v>
      </c>
      <c r="I899" s="474" t="s">
        <v>34</v>
      </c>
      <c r="J899" s="1024" t="s">
        <v>2261</v>
      </c>
      <c r="K899" s="467"/>
      <c r="L899" s="467"/>
      <c r="M899" s="466">
        <v>1</v>
      </c>
      <c r="N899" s="469" t="str">
        <f>IF(O899="tbc","",(IFERROR(EDATE(#REF!,-3),"Invalid procurement method or date entered")))</f>
        <v>Invalid procurement method or date entered</v>
      </c>
      <c r="O899" s="470">
        <v>44228</v>
      </c>
      <c r="P899" s="471">
        <v>3</v>
      </c>
      <c r="Q899" s="471">
        <v>3</v>
      </c>
      <c r="R899" s="483">
        <v>50000</v>
      </c>
      <c r="S899" s="470" t="s">
        <v>163</v>
      </c>
      <c r="T899" s="470" t="s">
        <v>36</v>
      </c>
      <c r="U899" s="470" t="s">
        <v>125</v>
      </c>
      <c r="V899" s="470"/>
      <c r="W899" s="474" t="s">
        <v>1543</v>
      </c>
      <c r="AF899" s="1"/>
    </row>
    <row r="900" spans="1:32" ht="66">
      <c r="A900" s="852"/>
      <c r="B900" s="520" t="s">
        <v>48</v>
      </c>
      <c r="C900" s="465" t="s">
        <v>125</v>
      </c>
      <c r="D900" s="466" t="s">
        <v>60</v>
      </c>
      <c r="E900" s="466"/>
      <c r="F900" s="466"/>
      <c r="G900" s="466"/>
      <c r="H900" s="466" t="s">
        <v>127</v>
      </c>
      <c r="I900" s="474" t="s">
        <v>34</v>
      </c>
      <c r="J900" s="1024" t="s">
        <v>2265</v>
      </c>
      <c r="K900" s="467"/>
      <c r="L900" s="467"/>
      <c r="M900" s="466">
        <v>3</v>
      </c>
      <c r="N900" s="469" t="str">
        <f>IF(O900="tbc","",(IFERROR(EDATE(#REF!,-3),"Invalid procurement method or date entered")))</f>
        <v>Invalid procurement method or date entered</v>
      </c>
      <c r="O900" s="470">
        <v>44228</v>
      </c>
      <c r="P900" s="471">
        <v>13</v>
      </c>
      <c r="Q900" s="471">
        <v>0</v>
      </c>
      <c r="R900" s="493">
        <v>300000</v>
      </c>
      <c r="S900" s="470" t="s">
        <v>129</v>
      </c>
      <c r="T900" s="470" t="s">
        <v>36</v>
      </c>
      <c r="U900" s="470" t="s">
        <v>125</v>
      </c>
      <c r="V900" s="470"/>
      <c r="W900" s="474" t="s">
        <v>1134</v>
      </c>
      <c r="AF900" s="1"/>
    </row>
    <row r="901" spans="1:32" ht="124.2">
      <c r="A901" s="686" t="s">
        <v>43</v>
      </c>
      <c r="B901" s="626" t="s">
        <v>145</v>
      </c>
      <c r="C901" s="626" t="s">
        <v>35</v>
      </c>
      <c r="D901" s="628" t="s">
        <v>82</v>
      </c>
      <c r="E901" s="628"/>
      <c r="F901" s="628"/>
      <c r="G901" s="628"/>
      <c r="H901" s="628" t="s">
        <v>82</v>
      </c>
      <c r="I901" s="628" t="s">
        <v>148</v>
      </c>
      <c r="J901" s="1048" t="s">
        <v>148</v>
      </c>
      <c r="K901" s="628" t="s">
        <v>34</v>
      </c>
      <c r="L901" s="627" t="s">
        <v>802</v>
      </c>
      <c r="M901" s="628" t="s">
        <v>52</v>
      </c>
      <c r="N901" s="628">
        <v>14</v>
      </c>
      <c r="O901" s="630">
        <f>IFERROR(EDATE(Q901,-N901),"Invalid procurement method or date entered")</f>
        <v>44228</v>
      </c>
      <c r="P901" s="631"/>
      <c r="Q901" s="631">
        <v>44652</v>
      </c>
      <c r="R901" s="654">
        <v>60</v>
      </c>
      <c r="S901" s="654">
        <v>60</v>
      </c>
      <c r="T901" s="653">
        <v>6000000</v>
      </c>
      <c r="U901" s="646" t="s">
        <v>607</v>
      </c>
      <c r="V901" s="646"/>
      <c r="W901" s="629" t="s">
        <v>3824</v>
      </c>
      <c r="X901" s="669" t="s">
        <v>3825</v>
      </c>
      <c r="Y901" s="669" t="s">
        <v>803</v>
      </c>
      <c r="Z901" s="669" t="s">
        <v>150</v>
      </c>
      <c r="AA901" s="669" t="s">
        <v>457</v>
      </c>
      <c r="AB901" s="669" t="s">
        <v>80</v>
      </c>
      <c r="AC901" s="830" t="s">
        <v>41</v>
      </c>
      <c r="AD901" s="993">
        <v>44945</v>
      </c>
      <c r="AE901" s="1242" t="s">
        <v>3826</v>
      </c>
      <c r="AF901" s="854" t="s">
        <v>3827</v>
      </c>
    </row>
    <row r="902" spans="1:32" ht="72">
      <c r="A902" s="852"/>
      <c r="B902" s="4"/>
      <c r="C902" s="4" t="s">
        <v>3828</v>
      </c>
      <c r="D902" s="5" t="s">
        <v>29</v>
      </c>
      <c r="E902" s="5"/>
      <c r="F902" s="5"/>
      <c r="G902" s="5"/>
      <c r="H902" s="5" t="s">
        <v>70</v>
      </c>
      <c r="I902" s="12" t="s">
        <v>34</v>
      </c>
      <c r="J902" s="16" t="s">
        <v>958</v>
      </c>
      <c r="K902" s="16"/>
      <c r="L902" s="5" t="e">
        <f>IF(OR(S902=#REF!,S902=#REF!,S902=#REF!,S902=#REF!,S902=#REF!,S902=#REF!,S902=#REF!,S902=#REF!),12,IF(OR(S902=#REF!,S902=#REF!,S902=#REF!,S902=#REF!,S902=#REF!,S902=#REF!,S902=#REF!),3,IF(S902=#REF!,1,IF(S902=#REF!,18,IF(OR(S902=#REF!,S902=#REF!,S902=#REF!,S902=#REF!,S902=#REF!),14,"Invalid proposed procurement method")))))</f>
        <v>#REF!</v>
      </c>
      <c r="M902" s="193" t="str">
        <f>IFERROR(EDATE($N902,-3),"Invalid procurement method or date entered")</f>
        <v>Invalid procurement method or date entered</v>
      </c>
      <c r="N902" s="193" t="str">
        <f>IFERROR(EDATE(O902,-L902),"Invalid procurement method or date entered")</f>
        <v>Invalid procurement method or date entered</v>
      </c>
      <c r="O902" s="210">
        <v>44230</v>
      </c>
      <c r="P902" s="12">
        <v>36</v>
      </c>
      <c r="Q902" s="5">
        <v>36</v>
      </c>
      <c r="R902" s="38">
        <v>43000</v>
      </c>
      <c r="S902" s="5" t="s">
        <v>217</v>
      </c>
      <c r="T902" s="39" t="s">
        <v>54</v>
      </c>
      <c r="U902" s="12" t="s">
        <v>37</v>
      </c>
      <c r="V902" s="12"/>
      <c r="W902" s="5" t="s">
        <v>959</v>
      </c>
      <c r="X902" s="74" t="s">
        <v>1053</v>
      </c>
      <c r="Y902" s="74" t="s">
        <v>457</v>
      </c>
      <c r="Z902" s="74"/>
      <c r="AA902" s="74" t="s">
        <v>41</v>
      </c>
      <c r="AB902" s="316" t="s">
        <v>1250</v>
      </c>
      <c r="AC902" s="95" t="s">
        <v>1246</v>
      </c>
      <c r="AD902" s="74" t="s">
        <v>3829</v>
      </c>
      <c r="AE902" s="874"/>
      <c r="AF902" s="1"/>
    </row>
    <row r="903" spans="1:32" ht="201.6">
      <c r="A903" s="888"/>
      <c r="B903" s="114"/>
      <c r="C903" s="4" t="s">
        <v>3830</v>
      </c>
      <c r="D903" s="5" t="s">
        <v>29</v>
      </c>
      <c r="E903" s="5"/>
      <c r="F903" s="5"/>
      <c r="G903" s="5"/>
      <c r="H903" s="5" t="s">
        <v>70</v>
      </c>
      <c r="I903" s="5" t="s">
        <v>34</v>
      </c>
      <c r="J903" s="16" t="s">
        <v>3831</v>
      </c>
      <c r="K903" s="16"/>
      <c r="L903" s="5" t="e">
        <f>IF(OR(S903=#REF!,S903=#REF!,S903=#REF!,S903=#REF!,S903=#REF!,S903=#REF!,S903=#REF!,S903=#REF!),12,IF(OR(S903=#REF!,S903=#REF!,S903=#REF!,S903=#REF!,S903=#REF!,S903=#REF!,S903=#REF!),3,IF(S903=#REF!,1,IF(S903=#REF!,18,IF(OR(S903=#REF!,S903=#REF!,S903=#REF!,S903=#REF!,S903=#REF!),14,"Invalid proposed procurement method")))))</f>
        <v>#REF!</v>
      </c>
      <c r="M903" s="193" t="str">
        <f>IFERROR(EDATE($N903,-3),"Invalid procurement method or date entered")</f>
        <v>Invalid procurement method or date entered</v>
      </c>
      <c r="N903" s="193" t="str">
        <f>IFERROR(EDATE(O903,-L903),"Invalid procurement method or date entered")</f>
        <v>Invalid procurement method or date entered</v>
      </c>
      <c r="O903" s="176">
        <v>44233</v>
      </c>
      <c r="P903" s="12">
        <v>24</v>
      </c>
      <c r="Q903" s="12" t="s">
        <v>366</v>
      </c>
      <c r="R903" s="18">
        <v>20000</v>
      </c>
      <c r="S903" s="5" t="s">
        <v>217</v>
      </c>
      <c r="T903" s="5" t="s">
        <v>54</v>
      </c>
      <c r="U903" s="176" t="s">
        <v>37</v>
      </c>
      <c r="V903" s="176"/>
      <c r="W903" s="5" t="s">
        <v>3832</v>
      </c>
      <c r="X903" s="74" t="s">
        <v>94</v>
      </c>
      <c r="Y903" s="74" t="s">
        <v>457</v>
      </c>
      <c r="Z903" s="74"/>
      <c r="AA903" s="74" t="s">
        <v>41</v>
      </c>
      <c r="AB903" s="316" t="s">
        <v>1250</v>
      </c>
      <c r="AC903" s="95" t="s">
        <v>3833</v>
      </c>
      <c r="AD903" s="74" t="s">
        <v>3829</v>
      </c>
      <c r="AE903" s="306">
        <v>7440</v>
      </c>
      <c r="AF903" s="1"/>
    </row>
    <row r="904" spans="1:32" ht="15.6">
      <c r="A904" s="1061">
        <v>44974</v>
      </c>
      <c r="B904" s="1066" t="s">
        <v>210</v>
      </c>
      <c r="C904" s="1072" t="s">
        <v>3834</v>
      </c>
      <c r="D904" s="1072" t="s">
        <v>2856</v>
      </c>
      <c r="E904" s="1066" t="s">
        <v>210</v>
      </c>
      <c r="F904" s="1066" t="s">
        <v>190</v>
      </c>
      <c r="G904" s="1066" t="s">
        <v>190</v>
      </c>
      <c r="H904" s="1066" t="s">
        <v>190</v>
      </c>
      <c r="I904" s="1066" t="s">
        <v>190</v>
      </c>
      <c r="J904" s="1095" t="s">
        <v>356</v>
      </c>
      <c r="K904" s="1072" t="s">
        <v>357</v>
      </c>
      <c r="L904" s="1066" t="s">
        <v>190</v>
      </c>
      <c r="M904" s="1066" t="s">
        <v>190</v>
      </c>
      <c r="N904" s="1066" t="s">
        <v>190</v>
      </c>
      <c r="O904" s="1142">
        <v>44235</v>
      </c>
      <c r="P904" s="1142">
        <v>45329</v>
      </c>
      <c r="Q904" s="1142">
        <v>46060</v>
      </c>
      <c r="R904" s="1176">
        <v>112752</v>
      </c>
      <c r="S904" s="1072" t="s">
        <v>2175</v>
      </c>
      <c r="T904" s="1066" t="s">
        <v>190</v>
      </c>
      <c r="U904" s="1066" t="s">
        <v>190</v>
      </c>
      <c r="V904" s="1066"/>
      <c r="W904" s="1072" t="s">
        <v>359</v>
      </c>
      <c r="X904" s="1116" t="s">
        <v>1346</v>
      </c>
      <c r="Y904" s="1116" t="s">
        <v>1266</v>
      </c>
      <c r="Z904" s="1068" t="s">
        <v>190</v>
      </c>
      <c r="AA904" s="1068" t="s">
        <v>190</v>
      </c>
      <c r="AB904" s="1068" t="s">
        <v>190</v>
      </c>
      <c r="AC904" s="694" t="s">
        <v>3835</v>
      </c>
      <c r="AD904" s="1068" t="s">
        <v>190</v>
      </c>
      <c r="AE904" s="1193">
        <v>112752</v>
      </c>
    </row>
    <row r="905" spans="1:32" ht="86.4">
      <c r="A905" s="888"/>
      <c r="B905" s="114"/>
      <c r="C905" s="4" t="s">
        <v>1125</v>
      </c>
      <c r="D905" s="9" t="s">
        <v>29</v>
      </c>
      <c r="E905" s="9"/>
      <c r="F905" s="9"/>
      <c r="G905" s="9"/>
      <c r="H905" s="5" t="s">
        <v>70</v>
      </c>
      <c r="I905" s="5" t="s">
        <v>34</v>
      </c>
      <c r="J905" s="1339" t="s">
        <v>3836</v>
      </c>
      <c r="K905" s="1339"/>
      <c r="L905" s="5">
        <v>3</v>
      </c>
      <c r="M905" s="193">
        <f>IFERROR(EDATE($N905,-3),"Invalid procurement method or date entered")</f>
        <v>44053</v>
      </c>
      <c r="N905" s="193">
        <f>IFERROR(EDATE(O905,-L905),"Invalid procurement method or date entered")</f>
        <v>44145</v>
      </c>
      <c r="O905" s="1329">
        <v>44237</v>
      </c>
      <c r="P905" s="1330">
        <v>36</v>
      </c>
      <c r="Q905" s="5" t="s">
        <v>318</v>
      </c>
      <c r="R905" s="18">
        <v>90305</v>
      </c>
      <c r="S905" s="5" t="s">
        <v>109</v>
      </c>
      <c r="T905" s="47" t="s">
        <v>36</v>
      </c>
      <c r="U905" s="45" t="s">
        <v>43</v>
      </c>
      <c r="V905" s="45"/>
      <c r="W905" s="5" t="s">
        <v>3837</v>
      </c>
      <c r="X905" s="1356" t="s">
        <v>1091</v>
      </c>
      <c r="Y905" s="74" t="s">
        <v>457</v>
      </c>
      <c r="Z905" s="74"/>
      <c r="AA905" s="74" t="s">
        <v>41</v>
      </c>
      <c r="AB905" s="316" t="s">
        <v>1250</v>
      </c>
      <c r="AC905" s="1341" t="s">
        <v>3838</v>
      </c>
      <c r="AD905" s="74" t="s">
        <v>3653</v>
      </c>
      <c r="AE905" s="191" t="s">
        <v>1110</v>
      </c>
      <c r="AF905" s="1"/>
    </row>
    <row r="906" spans="1:32" ht="72">
      <c r="A906" s="888"/>
      <c r="B906" s="4"/>
      <c r="C906" s="10" t="s">
        <v>35</v>
      </c>
      <c r="D906" s="5" t="s">
        <v>60</v>
      </c>
      <c r="E906" s="5"/>
      <c r="F906" s="5"/>
      <c r="G906" s="5"/>
      <c r="H906" s="5" t="s">
        <v>260</v>
      </c>
      <c r="I906" s="5" t="s">
        <v>34</v>
      </c>
      <c r="J906" s="16" t="s">
        <v>2759</v>
      </c>
      <c r="K906" s="8"/>
      <c r="L906" s="5" t="e">
        <f>IF(OR(S906=#REF!,S906=#REF!,S906=#REF!,S906=#REF!,S906=#REF!,S906=#REF!,S906=#REF!,S906=#REF!),12,IF(OR(S906=#REF!,S906=#REF!,S906=#REF!,S906=#REF!,S906=#REF!,S906=#REF!,S906=#REF!),3,IF(S906=#REF!,1,IF(S906=#REF!,18,IF(OR(S906=#REF!,S906=#REF!,S906=#REF!,S906=#REF!,S906=#REF!),14,"Invalid proposed procurement method")))))</f>
        <v>#REF!</v>
      </c>
      <c r="M906" s="193" t="str">
        <f>IFERROR(EDATE($N906,-3),"Invalid procurement method or date entered")</f>
        <v>Invalid procurement method or date entered</v>
      </c>
      <c r="N906" s="193" t="str">
        <f>IFERROR(EDATE(O906,-L906),"Invalid procurement method or date entered")</f>
        <v>Invalid procurement method or date entered</v>
      </c>
      <c r="O906" s="14">
        <v>44239</v>
      </c>
      <c r="P906" s="12">
        <v>33</v>
      </c>
      <c r="Q906" s="5" t="s">
        <v>3839</v>
      </c>
      <c r="R906" s="18" t="s">
        <v>35</v>
      </c>
      <c r="S906" s="5" t="s">
        <v>163</v>
      </c>
      <c r="T906" s="14" t="s">
        <v>54</v>
      </c>
      <c r="U906" s="14" t="s">
        <v>37</v>
      </c>
      <c r="V906" s="14"/>
      <c r="W906" s="5" t="s">
        <v>233</v>
      </c>
      <c r="X906" s="74" t="s">
        <v>90</v>
      </c>
      <c r="Y906" s="74" t="s">
        <v>39</v>
      </c>
      <c r="Z906" s="74"/>
      <c r="AA906" s="74" t="s">
        <v>41</v>
      </c>
      <c r="AB906" s="316" t="s">
        <v>1082</v>
      </c>
      <c r="AC906" s="95" t="s">
        <v>3840</v>
      </c>
      <c r="AD906" s="70" t="s">
        <v>260</v>
      </c>
      <c r="AE906" s="3"/>
      <c r="AF906" s="93"/>
    </row>
    <row r="907" spans="1:32" ht="15.6">
      <c r="A907" s="1061">
        <v>44974</v>
      </c>
      <c r="B907" s="1066" t="s">
        <v>210</v>
      </c>
      <c r="C907" s="1072" t="s">
        <v>3841</v>
      </c>
      <c r="D907" s="1072" t="s">
        <v>2856</v>
      </c>
      <c r="E907" s="1066" t="s">
        <v>210</v>
      </c>
      <c r="F907" s="1066" t="s">
        <v>190</v>
      </c>
      <c r="G907" s="1066" t="s">
        <v>190</v>
      </c>
      <c r="H907" s="1066" t="s">
        <v>190</v>
      </c>
      <c r="I907" s="1066" t="s">
        <v>190</v>
      </c>
      <c r="J907" s="1095" t="s">
        <v>3842</v>
      </c>
      <c r="K907" s="1072" t="s">
        <v>3843</v>
      </c>
      <c r="L907" s="1066" t="s">
        <v>190</v>
      </c>
      <c r="M907" s="1066" t="s">
        <v>190</v>
      </c>
      <c r="N907" s="1066" t="s">
        <v>190</v>
      </c>
      <c r="O907" s="1142">
        <v>44239</v>
      </c>
      <c r="P907" s="1142">
        <v>44309</v>
      </c>
      <c r="Q907" s="1072" t="s">
        <v>43</v>
      </c>
      <c r="R907" s="1176">
        <v>574355</v>
      </c>
      <c r="S907" s="1072" t="s">
        <v>158</v>
      </c>
      <c r="T907" s="1066" t="s">
        <v>190</v>
      </c>
      <c r="U907" s="1066" t="s">
        <v>190</v>
      </c>
      <c r="V907" s="1066"/>
      <c r="W907" s="1072" t="s">
        <v>1077</v>
      </c>
      <c r="X907" s="1116" t="s">
        <v>1346</v>
      </c>
      <c r="Y907" s="1116" t="s">
        <v>1266</v>
      </c>
      <c r="Z907" s="1068" t="s">
        <v>190</v>
      </c>
      <c r="AA907" s="1068" t="s">
        <v>190</v>
      </c>
      <c r="AB907" s="1068" t="s">
        <v>190</v>
      </c>
      <c r="AC907" s="694" t="s">
        <v>3844</v>
      </c>
      <c r="AD907" s="1068" t="s">
        <v>190</v>
      </c>
      <c r="AE907" s="1193">
        <v>574355</v>
      </c>
    </row>
    <row r="908" spans="1:32" ht="66">
      <c r="A908" s="852"/>
      <c r="B908" s="520" t="s">
        <v>48</v>
      </c>
      <c r="C908" s="465" t="s">
        <v>125</v>
      </c>
      <c r="D908" s="466" t="s">
        <v>60</v>
      </c>
      <c r="E908" s="466"/>
      <c r="F908" s="466"/>
      <c r="G908" s="466"/>
      <c r="H908" s="466" t="s">
        <v>127</v>
      </c>
      <c r="I908" s="474" t="s">
        <v>34</v>
      </c>
      <c r="J908" s="1024" t="s">
        <v>2264</v>
      </c>
      <c r="K908" s="467"/>
      <c r="L908" s="467"/>
      <c r="M908" s="466">
        <v>3</v>
      </c>
      <c r="N908" s="469" t="str">
        <f>IF(O908="tbc","",(IFERROR(EDATE(#REF!,-3),"Invalid procurement method or date entered")))</f>
        <v>Invalid procurement method or date entered</v>
      </c>
      <c r="O908" s="470">
        <v>44242</v>
      </c>
      <c r="P908" s="471">
        <v>6</v>
      </c>
      <c r="Q908" s="471">
        <v>0</v>
      </c>
      <c r="R908" s="493">
        <v>1500000</v>
      </c>
      <c r="S908" s="470" t="s">
        <v>129</v>
      </c>
      <c r="T908" s="470" t="s">
        <v>144</v>
      </c>
      <c r="U908" s="470" t="s">
        <v>125</v>
      </c>
      <c r="V908" s="470"/>
      <c r="W908" s="474" t="s">
        <v>1134</v>
      </c>
      <c r="AF908" s="1"/>
    </row>
    <row r="909" spans="1:32" ht="52.8">
      <c r="A909" s="852"/>
      <c r="B909" s="520" t="s">
        <v>48</v>
      </c>
      <c r="C909" s="465" t="s">
        <v>2301</v>
      </c>
      <c r="D909" s="466" t="s">
        <v>60</v>
      </c>
      <c r="E909" s="466"/>
      <c r="F909" s="466"/>
      <c r="G909" s="466"/>
      <c r="H909" s="466" t="s">
        <v>127</v>
      </c>
      <c r="I909" s="474" t="s">
        <v>34</v>
      </c>
      <c r="J909" s="549" t="s">
        <v>2302</v>
      </c>
      <c r="K909" s="484"/>
      <c r="L909" s="466">
        <v>14</v>
      </c>
      <c r="M909" s="469">
        <f>IF(O909="tbc","",(IFERROR(EDATE($N909,-3),"Invalid procurement method or date entered")))</f>
        <v>43723</v>
      </c>
      <c r="N909" s="469">
        <f>IF(O909="tbc","",(IFERROR(EDATE(O909,-L909),"Invalid procurement method or date entered")))</f>
        <v>43814</v>
      </c>
      <c r="O909" s="469">
        <v>44242</v>
      </c>
      <c r="P909" s="491">
        <v>2</v>
      </c>
      <c r="Q909" s="491">
        <v>2</v>
      </c>
      <c r="R909" s="493">
        <v>150000</v>
      </c>
      <c r="S909" s="491" t="s">
        <v>186</v>
      </c>
      <c r="T909" s="491" t="s">
        <v>36</v>
      </c>
      <c r="U909" s="469">
        <v>43700</v>
      </c>
      <c r="V909" s="469"/>
      <c r="W909" s="513" t="s">
        <v>1304</v>
      </c>
      <c r="AF909" s="1"/>
    </row>
    <row r="910" spans="1:32">
      <c r="A910" s="888"/>
      <c r="B910" s="323" t="s">
        <v>145</v>
      </c>
      <c r="C910" s="323"/>
      <c r="D910" s="8" t="s">
        <v>82</v>
      </c>
      <c r="E910" s="8"/>
      <c r="F910" s="8"/>
      <c r="G910" s="8"/>
      <c r="H910" s="8" t="s">
        <v>148</v>
      </c>
      <c r="I910" s="8" t="s">
        <v>34</v>
      </c>
      <c r="J910" s="16" t="s">
        <v>251</v>
      </c>
      <c r="K910" s="8"/>
      <c r="L910" s="78">
        <v>12</v>
      </c>
      <c r="M910" s="394">
        <f>IFERROR(EDATE(N910,-3),"Invalid procurement method or date entered")</f>
        <v>43787</v>
      </c>
      <c r="N910" s="346">
        <f>IFERROR(EDATE(O910,-L910),"Invalid procurement method or date entered")</f>
        <v>43879</v>
      </c>
      <c r="O910" s="328">
        <v>44245</v>
      </c>
      <c r="P910" s="329"/>
      <c r="Q910" s="329"/>
      <c r="R910" s="153">
        <v>70000</v>
      </c>
      <c r="S910" s="5" t="s">
        <v>163</v>
      </c>
      <c r="T910" s="319" t="s">
        <v>35</v>
      </c>
      <c r="U910" s="319" t="s">
        <v>35</v>
      </c>
      <c r="V910" s="319"/>
      <c r="W910" s="8" t="s">
        <v>3633</v>
      </c>
      <c r="X910" s="95" t="s">
        <v>254</v>
      </c>
      <c r="Y910" s="95" t="s">
        <v>179</v>
      </c>
      <c r="Z910" s="95"/>
      <c r="AA910" s="1231"/>
      <c r="AB910" s="358" t="s">
        <v>41</v>
      </c>
      <c r="AC910" s="390">
        <v>44243</v>
      </c>
      <c r="AD910" s="390"/>
      <c r="AE910" s="390"/>
      <c r="AF910" s="1"/>
    </row>
    <row r="911" spans="1:32" ht="15.6">
      <c r="A911" s="1061">
        <v>44974</v>
      </c>
      <c r="B911" s="1066" t="s">
        <v>210</v>
      </c>
      <c r="C911" s="1072" t="s">
        <v>3845</v>
      </c>
      <c r="D911" s="1072" t="s">
        <v>1034</v>
      </c>
      <c r="E911" s="1066" t="s">
        <v>210</v>
      </c>
      <c r="F911" s="1066" t="s">
        <v>190</v>
      </c>
      <c r="G911" s="1066" t="s">
        <v>190</v>
      </c>
      <c r="H911" s="1066" t="s">
        <v>190</v>
      </c>
      <c r="I911" s="1066" t="s">
        <v>190</v>
      </c>
      <c r="J911" s="1095" t="s">
        <v>3846</v>
      </c>
      <c r="K911" s="1072" t="s">
        <v>1076</v>
      </c>
      <c r="L911" s="1066" t="s">
        <v>190</v>
      </c>
      <c r="M911" s="1066" t="s">
        <v>190</v>
      </c>
      <c r="N911" s="1066" t="s">
        <v>190</v>
      </c>
      <c r="O911" s="1142">
        <v>44246</v>
      </c>
      <c r="P911" s="1142">
        <v>44255</v>
      </c>
      <c r="Q911" s="1072" t="s">
        <v>100</v>
      </c>
      <c r="R911" s="1176">
        <v>12258</v>
      </c>
      <c r="S911" s="1072" t="s">
        <v>158</v>
      </c>
      <c r="T911" s="1066" t="s">
        <v>190</v>
      </c>
      <c r="U911" s="1066" t="s">
        <v>190</v>
      </c>
      <c r="V911" s="1066"/>
      <c r="W911" s="1072" t="s">
        <v>1342</v>
      </c>
      <c r="X911" s="1116" t="s">
        <v>1346</v>
      </c>
      <c r="Y911" s="1116" t="s">
        <v>1266</v>
      </c>
      <c r="Z911" s="1068" t="s">
        <v>190</v>
      </c>
      <c r="AA911" s="1068" t="s">
        <v>190</v>
      </c>
      <c r="AB911" s="1068" t="s">
        <v>190</v>
      </c>
      <c r="AC911" s="694" t="s">
        <v>3847</v>
      </c>
      <c r="AD911" s="1068" t="s">
        <v>190</v>
      </c>
      <c r="AE911" s="1193">
        <v>12258</v>
      </c>
    </row>
    <row r="912" spans="1:32" ht="72">
      <c r="A912" s="889"/>
      <c r="B912" s="4"/>
      <c r="C912" s="4" t="s">
        <v>622</v>
      </c>
      <c r="D912" s="5" t="s">
        <v>29</v>
      </c>
      <c r="E912" s="5"/>
      <c r="F912" s="5"/>
      <c r="G912" s="5"/>
      <c r="H912" s="5" t="s">
        <v>33</v>
      </c>
      <c r="I912" s="5" t="s">
        <v>34</v>
      </c>
      <c r="J912" s="16" t="s">
        <v>623</v>
      </c>
      <c r="K912" s="8"/>
      <c r="L912" s="5" t="e">
        <f>IF(OR(S912=#REF!,S912=#REF!,S912=#REF!,S912=#REF!,S912=#REF!,S912=#REF!,S912=#REF!,S912=#REF!),12,IF(OR(S912=#REF!,S912=#REF!,S912=#REF!,S912=#REF!,S912=#REF!,S912=#REF!,S912=#REF!),3,IF(S912=#REF!,1,IF(S912=#REF!,18,IF(OR(S912=#REF!,S912=#REF!,S912=#REF!,S912=#REF!,S912=#REF!),14,"Invalid proposed procurement method")))))</f>
        <v>#REF!</v>
      </c>
      <c r="M912" s="193" t="str">
        <f>IFERROR(EDATE($N912,-3),"Invalid procurement method or date entered")</f>
        <v>Invalid procurement method or date entered</v>
      </c>
      <c r="N912" s="193" t="str">
        <f>IFERROR(EDATE(O912,-L912),"Invalid procurement method or date entered")</f>
        <v>Invalid procurement method or date entered</v>
      </c>
      <c r="O912" s="193">
        <v>44249</v>
      </c>
      <c r="P912" s="5">
        <v>48</v>
      </c>
      <c r="Q912" s="5" t="s">
        <v>191</v>
      </c>
      <c r="R912" s="18">
        <v>750000</v>
      </c>
      <c r="S912" s="5" t="s">
        <v>109</v>
      </c>
      <c r="T912" s="50" t="s">
        <v>41</v>
      </c>
      <c r="U912" s="50">
        <v>44147</v>
      </c>
      <c r="V912" s="50"/>
      <c r="W912" s="5" t="s">
        <v>3627</v>
      </c>
      <c r="X912" s="449" t="s">
        <v>1053</v>
      </c>
      <c r="Y912" s="74" t="s">
        <v>457</v>
      </c>
      <c r="Z912" s="74"/>
      <c r="AA912" s="74" t="s">
        <v>41</v>
      </c>
      <c r="AB912" s="316" t="s">
        <v>1082</v>
      </c>
      <c r="AC912" s="95" t="s">
        <v>1246</v>
      </c>
      <c r="AD912" s="70" t="s">
        <v>42</v>
      </c>
      <c r="AE912" s="204"/>
      <c r="AF912" s="1"/>
    </row>
    <row r="913" spans="1:32" ht="66">
      <c r="A913" s="852"/>
      <c r="B913" s="520" t="s">
        <v>48</v>
      </c>
      <c r="C913" s="466" t="s">
        <v>125</v>
      </c>
      <c r="D913" s="466" t="s">
        <v>60</v>
      </c>
      <c r="E913" s="466"/>
      <c r="F913" s="466"/>
      <c r="G913" s="466"/>
      <c r="H913" s="466" t="s">
        <v>127</v>
      </c>
      <c r="I913" s="474" t="s">
        <v>34</v>
      </c>
      <c r="J913" s="549" t="s">
        <v>2306</v>
      </c>
      <c r="K913" s="484"/>
      <c r="L913" s="466">
        <v>3</v>
      </c>
      <c r="M913" s="469">
        <f>IF(O913="tbc","",(IFERROR(EDATE($N913,-3),"Invalid procurement method or date entered")))</f>
        <v>44065</v>
      </c>
      <c r="N913" s="469">
        <f>IF(O913="tbc","",(IFERROR(EDATE(O913,-L913),"Invalid procurement method or date entered")))</f>
        <v>44157</v>
      </c>
      <c r="O913" s="470">
        <v>44249</v>
      </c>
      <c r="P913" s="471">
        <v>2</v>
      </c>
      <c r="Q913" s="471">
        <v>2</v>
      </c>
      <c r="R913" s="483">
        <f>382766+228693+250797</f>
        <v>862256</v>
      </c>
      <c r="S913" s="470" t="s">
        <v>129</v>
      </c>
      <c r="T913" s="470" t="s">
        <v>36</v>
      </c>
      <c r="U913" s="466" t="s">
        <v>125</v>
      </c>
      <c r="V913" s="466"/>
      <c r="W913" s="466"/>
      <c r="AF913" s="1"/>
    </row>
    <row r="914" spans="1:32" ht="66">
      <c r="A914" s="852"/>
      <c r="B914" s="520" t="s">
        <v>48</v>
      </c>
      <c r="C914" s="466" t="s">
        <v>125</v>
      </c>
      <c r="D914" s="466" t="s">
        <v>60</v>
      </c>
      <c r="E914" s="466"/>
      <c r="F914" s="466"/>
      <c r="G914" s="466"/>
      <c r="H914" s="466" t="s">
        <v>127</v>
      </c>
      <c r="I914" s="474" t="s">
        <v>34</v>
      </c>
      <c r="J914" s="549" t="s">
        <v>2314</v>
      </c>
      <c r="K914" s="484"/>
      <c r="L914" s="466">
        <v>3</v>
      </c>
      <c r="M914" s="469">
        <f>IF(O914="tbc","",(IFERROR(EDATE($N914,-3),"Invalid procurement method or date entered")))</f>
        <v>44065</v>
      </c>
      <c r="N914" s="469">
        <f>IF(O914="tbc","",(IFERROR(EDATE(O914,-L914),"Invalid procurement method or date entered")))</f>
        <v>44157</v>
      </c>
      <c r="O914" s="470">
        <v>44249</v>
      </c>
      <c r="P914" s="471">
        <v>2</v>
      </c>
      <c r="Q914" s="471">
        <v>2</v>
      </c>
      <c r="R914" s="483">
        <f>866897+197444</f>
        <v>1064341</v>
      </c>
      <c r="S914" s="470" t="s">
        <v>129</v>
      </c>
      <c r="T914" s="470" t="s">
        <v>36</v>
      </c>
      <c r="U914" s="466" t="s">
        <v>125</v>
      </c>
      <c r="V914" s="466"/>
      <c r="W914" s="466"/>
      <c r="AF914" s="1"/>
    </row>
    <row r="915" spans="1:32" ht="72">
      <c r="A915" s="888"/>
      <c r="B915" s="4"/>
      <c r="C915" s="4" t="s">
        <v>1106</v>
      </c>
      <c r="D915" s="5" t="s">
        <v>29</v>
      </c>
      <c r="E915" s="5"/>
      <c r="F915" s="5"/>
      <c r="G915" s="5"/>
      <c r="H915" s="1335" t="s">
        <v>45</v>
      </c>
      <c r="I915" s="1335" t="s">
        <v>34</v>
      </c>
      <c r="J915" s="1339" t="s">
        <v>1107</v>
      </c>
      <c r="K915" s="1339"/>
      <c r="L915" s="5" t="e">
        <f>IF(OR(S915=#REF!,S915=#REF!,S915=#REF!,S915=#REF!,S915=#REF!,S915=#REF!,S915=#REF!,S915=#REF!),12,IF(OR(S915=#REF!,S915=#REF!,S915=#REF!,S915=#REF!,S915=#REF!,S915=#REF!,S915=#REF!),3,IF(S915=#REF!,1,IF(S915=#REF!,18,IF(OR(S915=#REF!,S915=#REF!,S915=#REF!,S915=#REF!,S915=#REF!),14,"Invalid proposed procurement method")))))</f>
        <v>#REF!</v>
      </c>
      <c r="M915" s="193" t="str">
        <f>IFERROR(EDATE($N915,-3),"Invalid procurement method or date entered")</f>
        <v>Invalid procurement method or date entered</v>
      </c>
      <c r="N915" s="193" t="str">
        <f>IFERROR(EDATE(O915,-L915),"Invalid procurement method or date entered")</f>
        <v>Invalid procurement method or date entered</v>
      </c>
      <c r="O915" s="176">
        <v>44250</v>
      </c>
      <c r="P915" s="1335">
        <v>26</v>
      </c>
      <c r="Q915" s="1335" t="s">
        <v>3848</v>
      </c>
      <c r="R915" s="18">
        <v>1400000</v>
      </c>
      <c r="S915" s="5" t="s">
        <v>46</v>
      </c>
      <c r="T915" s="5" t="s">
        <v>41</v>
      </c>
      <c r="U915" s="176">
        <v>44154</v>
      </c>
      <c r="V915" s="176"/>
      <c r="W915" s="1335" t="s">
        <v>1108</v>
      </c>
      <c r="X915" s="74" t="s">
        <v>1053</v>
      </c>
      <c r="Y915" s="74" t="s">
        <v>457</v>
      </c>
      <c r="Z915" s="74"/>
      <c r="AA915" s="1342" t="s">
        <v>54</v>
      </c>
      <c r="AB915" s="316" t="s">
        <v>1269</v>
      </c>
      <c r="AC915" s="1341" t="s">
        <v>1246</v>
      </c>
      <c r="AD915" s="70" t="s">
        <v>45</v>
      </c>
      <c r="AE915" s="204">
        <v>672000</v>
      </c>
      <c r="AF915" s="1"/>
    </row>
    <row r="916" spans="1:32" ht="72">
      <c r="A916" s="888"/>
      <c r="B916" s="168"/>
      <c r="C916" s="1351" t="s">
        <v>1103</v>
      </c>
      <c r="D916" s="9" t="s">
        <v>29</v>
      </c>
      <c r="E916" s="9"/>
      <c r="F916" s="9"/>
      <c r="G916" s="9"/>
      <c r="H916" s="5" t="s">
        <v>628</v>
      </c>
      <c r="I916" s="5" t="s">
        <v>64</v>
      </c>
      <c r="J916" s="185" t="s">
        <v>629</v>
      </c>
      <c r="K916" s="185"/>
      <c r="L916" s="5" t="e">
        <f>IF(OR(S916=#REF!,S916=#REF!,S916=#REF!,S916=#REF!,S916=#REF!,S916=#REF!,S916=#REF!,S916=#REF!),12,IF(OR(S916=#REF!,S916=#REF!,S916=#REF!,S916=#REF!,S916=#REF!,S916=#REF!,S916=#REF!),3,IF(S916=#REF!,1,IF(S916=#REF!,18,IF(OR(S916=#REF!,S916=#REF!,S916=#REF!,S916=#REF!,S916=#REF!),14,"Invalid proposed procurement method")))))</f>
        <v>#REF!</v>
      </c>
      <c r="M916" s="193" t="str">
        <f>IFERROR(EDATE($N916,-3),"Invalid procurement method or date entered")</f>
        <v>Invalid procurement method or date entered</v>
      </c>
      <c r="N916" s="193" t="str">
        <f>IFERROR(EDATE(O916,-L916),"Invalid procurement method or date entered")</f>
        <v>Invalid procurement method or date entered</v>
      </c>
      <c r="O916" s="14">
        <v>44254</v>
      </c>
      <c r="P916" s="5">
        <v>33</v>
      </c>
      <c r="Q916" s="5" t="s">
        <v>3849</v>
      </c>
      <c r="R916" s="192">
        <v>1217376</v>
      </c>
      <c r="S916" s="5" t="s">
        <v>66</v>
      </c>
      <c r="T916" s="48" t="s">
        <v>41</v>
      </c>
      <c r="U916" s="48">
        <v>44095</v>
      </c>
      <c r="V916" s="48"/>
      <c r="W916" s="5" t="s">
        <v>3850</v>
      </c>
      <c r="X916" s="74" t="s">
        <v>68</v>
      </c>
      <c r="Y916" s="74" t="s">
        <v>457</v>
      </c>
      <c r="Z916" s="74"/>
      <c r="AA916" s="74" t="s">
        <v>41</v>
      </c>
      <c r="AB916" s="316" t="s">
        <v>1082</v>
      </c>
      <c r="AC916" s="95" t="s">
        <v>3851</v>
      </c>
      <c r="AD916" s="70" t="s">
        <v>42</v>
      </c>
      <c r="AE916" s="204">
        <v>773617.68</v>
      </c>
      <c r="AF916" s="1"/>
    </row>
    <row r="917" spans="1:32" ht="43.2">
      <c r="A917" s="888"/>
      <c r="B917" s="4"/>
      <c r="C917" s="4" t="s">
        <v>35</v>
      </c>
      <c r="D917" s="9" t="s">
        <v>29</v>
      </c>
      <c r="E917" s="9"/>
      <c r="F917" s="9"/>
      <c r="G917" s="9"/>
      <c r="H917" s="5" t="s">
        <v>70</v>
      </c>
      <c r="I917" s="5" t="s">
        <v>34</v>
      </c>
      <c r="J917" s="1035" t="s">
        <v>1212</v>
      </c>
      <c r="K917" s="61"/>
      <c r="L917" s="5">
        <v>6</v>
      </c>
      <c r="M917" s="193">
        <f>IFERROR(EDATE($N917,-3),"Invalid procurement method or date entered")</f>
        <v>43978</v>
      </c>
      <c r="N917" s="193">
        <f>IFERROR(EDATE(O917,-L917),"Invalid procurement method or date entered")</f>
        <v>44070</v>
      </c>
      <c r="O917" s="176">
        <v>44254</v>
      </c>
      <c r="P917" s="12">
        <v>12</v>
      </c>
      <c r="Q917" s="12">
        <v>12</v>
      </c>
      <c r="R917" s="18">
        <v>4940</v>
      </c>
      <c r="S917" s="5" t="s">
        <v>909</v>
      </c>
      <c r="T917" s="49" t="s">
        <v>54</v>
      </c>
      <c r="U917" s="45" t="s">
        <v>37</v>
      </c>
      <c r="V917" s="45"/>
      <c r="W917" s="12" t="s">
        <v>301</v>
      </c>
      <c r="X917" s="819" t="s">
        <v>73</v>
      </c>
      <c r="Y917" s="74" t="s">
        <v>39</v>
      </c>
      <c r="Z917" s="74" t="s">
        <v>95</v>
      </c>
      <c r="AA917" s="74" t="s">
        <v>54</v>
      </c>
      <c r="AB917" s="316" t="s">
        <v>1269</v>
      </c>
      <c r="AC917" s="847"/>
      <c r="AD917" s="74" t="s">
        <v>141</v>
      </c>
      <c r="AE917" s="204">
        <v>529882</v>
      </c>
      <c r="AF917" s="1"/>
    </row>
    <row r="918" spans="1:32" ht="86.4">
      <c r="A918" s="889"/>
      <c r="B918" s="4"/>
      <c r="C918" s="4" t="s">
        <v>3096</v>
      </c>
      <c r="D918" s="9" t="s">
        <v>29</v>
      </c>
      <c r="E918" s="9"/>
      <c r="F918" s="9"/>
      <c r="G918" s="9"/>
      <c r="H918" s="5" t="s">
        <v>33</v>
      </c>
      <c r="I918" s="5" t="s">
        <v>64</v>
      </c>
      <c r="J918" s="185" t="s">
        <v>3852</v>
      </c>
      <c r="K918" s="69"/>
      <c r="L918" s="5" t="e">
        <f>IF(OR(S918=#REF!,S918=#REF!,S918=#REF!,S918=#REF!,S918=#REF!,S918=#REF!,S918=#REF!,S918=#REF!),12,IF(OR(S918=#REF!,S918=#REF!,S918=#REF!,S918=#REF!,S918=#REF!,S918=#REF!,S918=#REF!),3,IF(S918=#REF!,1,IF(S918=#REF!,18,IF(OR(S918=#REF!,S918=#REF!,S918=#REF!,S918=#REF!,S918=#REF!),14,"Invalid proposed procurement method")))))</f>
        <v>#REF!</v>
      </c>
      <c r="M918" s="193" t="str">
        <f>IFERROR(EDATE($N918,-3),"Invalid procurement method or date entered")</f>
        <v>Invalid procurement method or date entered</v>
      </c>
      <c r="N918" s="193" t="str">
        <f>IFERROR(EDATE(O918,-L918),"Invalid procurement method or date entered")</f>
        <v>Invalid procurement method or date entered</v>
      </c>
      <c r="O918" s="193">
        <v>44256</v>
      </c>
      <c r="P918" s="5">
        <v>27</v>
      </c>
      <c r="Q918" s="7" t="s">
        <v>3853</v>
      </c>
      <c r="R918" s="18">
        <v>934000</v>
      </c>
      <c r="S918" s="5" t="s">
        <v>66</v>
      </c>
      <c r="T918" s="49" t="s">
        <v>36</v>
      </c>
      <c r="U918" s="45" t="s">
        <v>37</v>
      </c>
      <c r="V918" s="45"/>
      <c r="W918" s="5" t="s">
        <v>3627</v>
      </c>
      <c r="X918" s="449" t="s">
        <v>68</v>
      </c>
      <c r="Y918" s="74" t="s">
        <v>457</v>
      </c>
      <c r="Z918" s="74"/>
      <c r="AA918" s="819" t="s">
        <v>41</v>
      </c>
      <c r="AB918" s="316" t="s">
        <v>1082</v>
      </c>
      <c r="AC918" s="95" t="s">
        <v>3854</v>
      </c>
      <c r="AD918" s="70" t="s">
        <v>42</v>
      </c>
      <c r="AE918" s="204">
        <v>415000</v>
      </c>
      <c r="AF918" s="1"/>
    </row>
    <row r="919" spans="1:32" ht="28.8">
      <c r="A919" s="888"/>
      <c r="B919" s="323" t="s">
        <v>145</v>
      </c>
      <c r="C919" s="349" t="s">
        <v>340</v>
      </c>
      <c r="D919" s="8" t="s">
        <v>82</v>
      </c>
      <c r="E919" s="8"/>
      <c r="F919" s="8"/>
      <c r="G919" s="8"/>
      <c r="H919" s="8" t="s">
        <v>148</v>
      </c>
      <c r="I919" s="8" t="s">
        <v>34</v>
      </c>
      <c r="J919" s="16" t="s">
        <v>341</v>
      </c>
      <c r="K919" s="8"/>
      <c r="L919" s="78">
        <v>12</v>
      </c>
      <c r="M919" s="394">
        <f>IFERROR(EDATE(N919,-3),"Invalid procurement method or date entered")</f>
        <v>43800</v>
      </c>
      <c r="N919" s="346">
        <f>IFERROR(EDATE(O919,-L919),"Invalid procurement method or date entered")</f>
        <v>43891</v>
      </c>
      <c r="O919" s="328">
        <v>44256</v>
      </c>
      <c r="P919" s="66">
        <v>60</v>
      </c>
      <c r="Q919" s="66" t="s">
        <v>3855</v>
      </c>
      <c r="R919" s="153">
        <v>100000</v>
      </c>
      <c r="S919" s="153" t="s">
        <v>163</v>
      </c>
      <c r="T919" s="326" t="s">
        <v>54</v>
      </c>
      <c r="U919" s="326" t="s">
        <v>35</v>
      </c>
      <c r="V919" s="326"/>
      <c r="W919" s="8" t="s">
        <v>3856</v>
      </c>
      <c r="X919" s="95" t="s">
        <v>94</v>
      </c>
      <c r="Y919" s="95" t="s">
        <v>457</v>
      </c>
      <c r="Z919" s="95"/>
      <c r="AA919" s="318"/>
      <c r="AB919" s="390">
        <v>43844</v>
      </c>
      <c r="AC919" s="95" t="s">
        <v>3857</v>
      </c>
      <c r="AD919" s="95"/>
      <c r="AE919" s="95"/>
      <c r="AF919" s="3"/>
    </row>
    <row r="920" spans="1:32" ht="86.4">
      <c r="A920" s="888"/>
      <c r="B920" s="4" t="s">
        <v>28</v>
      </c>
      <c r="C920" s="4" t="s">
        <v>3858</v>
      </c>
      <c r="D920" s="9" t="s">
        <v>29</v>
      </c>
      <c r="E920" s="9"/>
      <c r="F920" s="9"/>
      <c r="G920" s="9"/>
      <c r="H920" s="5" t="s">
        <v>70</v>
      </c>
      <c r="I920" s="12" t="s">
        <v>64</v>
      </c>
      <c r="J920" s="16" t="s">
        <v>3859</v>
      </c>
      <c r="K920" s="16"/>
      <c r="L920" s="16"/>
      <c r="M920" s="193">
        <v>43831</v>
      </c>
      <c r="N920" s="193"/>
      <c r="O920" s="176">
        <v>44256</v>
      </c>
      <c r="P920" s="12">
        <v>96</v>
      </c>
      <c r="Q920" s="7" t="s">
        <v>3860</v>
      </c>
      <c r="R920" s="18">
        <v>64000</v>
      </c>
      <c r="S920" s="5" t="s">
        <v>66</v>
      </c>
      <c r="T920" s="5" t="s">
        <v>54</v>
      </c>
      <c r="U920" s="12" t="s">
        <v>37</v>
      </c>
      <c r="V920" s="12"/>
      <c r="W920" s="5" t="s">
        <v>244</v>
      </c>
      <c r="X920" s="449" t="s">
        <v>1088</v>
      </c>
      <c r="Y920" s="74" t="s">
        <v>59</v>
      </c>
      <c r="Z920" s="74"/>
      <c r="AA920" s="70"/>
      <c r="AB920" s="316">
        <v>43984</v>
      </c>
      <c r="AC920" s="95" t="s">
        <v>3861</v>
      </c>
      <c r="AD920" s="70" t="s">
        <v>654</v>
      </c>
      <c r="AE920" s="306"/>
      <c r="AF920" s="3"/>
    </row>
    <row r="921" spans="1:32" ht="66">
      <c r="A921" s="852"/>
      <c r="B921" s="520" t="s">
        <v>48</v>
      </c>
      <c r="C921" s="465" t="s">
        <v>125</v>
      </c>
      <c r="D921" s="466" t="s">
        <v>60</v>
      </c>
      <c r="E921" s="466"/>
      <c r="F921" s="466"/>
      <c r="G921" s="466"/>
      <c r="H921" s="466" t="s">
        <v>127</v>
      </c>
      <c r="I921" s="474" t="s">
        <v>34</v>
      </c>
      <c r="J921" s="1024" t="s">
        <v>2192</v>
      </c>
      <c r="K921" s="467"/>
      <c r="L921" s="467"/>
      <c r="M921" s="466">
        <v>3</v>
      </c>
      <c r="N921" s="469" t="str">
        <f>IF(O921="tbc","",(IFERROR(EDATE(#REF!,-3),"Invalid procurement method or date entered")))</f>
        <v>Invalid procurement method or date entered</v>
      </c>
      <c r="O921" s="470">
        <v>44256</v>
      </c>
      <c r="P921" s="471">
        <v>1</v>
      </c>
      <c r="Q921" s="471">
        <v>1</v>
      </c>
      <c r="R921" s="483">
        <v>220150</v>
      </c>
      <c r="S921" s="470" t="s">
        <v>129</v>
      </c>
      <c r="T921" s="470" t="s">
        <v>36</v>
      </c>
      <c r="U921" s="470" t="s">
        <v>125</v>
      </c>
      <c r="V921" s="470"/>
      <c r="W921" s="474" t="s">
        <v>2193</v>
      </c>
      <c r="AF921" s="1"/>
    </row>
    <row r="922" spans="1:32" ht="66">
      <c r="A922" s="852"/>
      <c r="B922" s="520" t="s">
        <v>48</v>
      </c>
      <c r="C922" s="465" t="s">
        <v>125</v>
      </c>
      <c r="D922" s="466" t="s">
        <v>60</v>
      </c>
      <c r="E922" s="466"/>
      <c r="F922" s="466"/>
      <c r="G922" s="466"/>
      <c r="H922" s="466" t="s">
        <v>127</v>
      </c>
      <c r="I922" s="474" t="s">
        <v>34</v>
      </c>
      <c r="J922" s="1024" t="s">
        <v>2194</v>
      </c>
      <c r="K922" s="467"/>
      <c r="L922" s="467"/>
      <c r="M922" s="466">
        <v>3</v>
      </c>
      <c r="N922" s="469" t="str">
        <f>IF(O922="tbc","",(IFERROR(EDATE(#REF!,-3),"Invalid procurement method or date entered")))</f>
        <v>Invalid procurement method or date entered</v>
      </c>
      <c r="O922" s="470">
        <v>44256</v>
      </c>
      <c r="P922" s="471">
        <v>2</v>
      </c>
      <c r="Q922" s="471">
        <v>2</v>
      </c>
      <c r="R922" s="483">
        <v>464148</v>
      </c>
      <c r="S922" s="470" t="s">
        <v>129</v>
      </c>
      <c r="T922" s="470" t="s">
        <v>36</v>
      </c>
      <c r="U922" s="470" t="s">
        <v>125</v>
      </c>
      <c r="V922" s="470"/>
      <c r="W922" s="474" t="s">
        <v>2193</v>
      </c>
      <c r="AF922" s="1"/>
    </row>
    <row r="923" spans="1:32" ht="66">
      <c r="A923" s="852"/>
      <c r="B923" s="520" t="s">
        <v>48</v>
      </c>
      <c r="C923" s="465" t="s">
        <v>125</v>
      </c>
      <c r="D923" s="466" t="s">
        <v>60</v>
      </c>
      <c r="E923" s="466"/>
      <c r="F923" s="466"/>
      <c r="G923" s="466"/>
      <c r="H923" s="466" t="s">
        <v>127</v>
      </c>
      <c r="I923" s="474" t="s">
        <v>34</v>
      </c>
      <c r="J923" s="1024" t="s">
        <v>2195</v>
      </c>
      <c r="K923" s="467"/>
      <c r="L923" s="467"/>
      <c r="M923" s="466">
        <v>3</v>
      </c>
      <c r="N923" s="469" t="str">
        <f>IF(O923="tbc","",(IFERROR(EDATE(#REF!,-3),"Invalid procurement method or date entered")))</f>
        <v>Invalid procurement method or date entered</v>
      </c>
      <c r="O923" s="470">
        <v>44256</v>
      </c>
      <c r="P923" s="471">
        <v>1</v>
      </c>
      <c r="Q923" s="471">
        <v>1</v>
      </c>
      <c r="R923" s="483">
        <v>91593</v>
      </c>
      <c r="S923" s="470" t="s">
        <v>129</v>
      </c>
      <c r="T923" s="470" t="s">
        <v>36</v>
      </c>
      <c r="U923" s="470" t="s">
        <v>125</v>
      </c>
      <c r="V923" s="470"/>
      <c r="W923" s="474" t="s">
        <v>2193</v>
      </c>
      <c r="AF923" s="1"/>
    </row>
    <row r="924" spans="1:32" ht="66">
      <c r="A924" s="852"/>
      <c r="B924" s="520" t="s">
        <v>48</v>
      </c>
      <c r="C924" s="465" t="s">
        <v>125</v>
      </c>
      <c r="D924" s="466" t="s">
        <v>60</v>
      </c>
      <c r="E924" s="466"/>
      <c r="F924" s="466"/>
      <c r="G924" s="466"/>
      <c r="H924" s="466" t="s">
        <v>127</v>
      </c>
      <c r="I924" s="474" t="s">
        <v>34</v>
      </c>
      <c r="J924" s="1024" t="s">
        <v>2196</v>
      </c>
      <c r="K924" s="467"/>
      <c r="L924" s="467"/>
      <c r="M924" s="466">
        <v>3</v>
      </c>
      <c r="N924" s="469" t="str">
        <f>IF(O924="tbc","",(IFERROR(EDATE(#REF!,-3),"Invalid procurement method or date entered")))</f>
        <v>Invalid procurement method or date entered</v>
      </c>
      <c r="O924" s="470">
        <v>44256</v>
      </c>
      <c r="P924" s="471">
        <v>1</v>
      </c>
      <c r="Q924" s="471">
        <v>1</v>
      </c>
      <c r="R924" s="483">
        <v>140977</v>
      </c>
      <c r="S924" s="470" t="s">
        <v>129</v>
      </c>
      <c r="T924" s="470" t="s">
        <v>36</v>
      </c>
      <c r="U924" s="470" t="s">
        <v>125</v>
      </c>
      <c r="V924" s="470"/>
      <c r="W924" s="474" t="s">
        <v>2193</v>
      </c>
      <c r="AF924" s="1"/>
    </row>
    <row r="925" spans="1:32" ht="66">
      <c r="A925" s="852"/>
      <c r="B925" s="520" t="s">
        <v>48</v>
      </c>
      <c r="C925" s="465" t="s">
        <v>125</v>
      </c>
      <c r="D925" s="466" t="s">
        <v>60</v>
      </c>
      <c r="E925" s="466"/>
      <c r="F925" s="466"/>
      <c r="G925" s="466"/>
      <c r="H925" s="466" t="s">
        <v>127</v>
      </c>
      <c r="I925" s="474" t="s">
        <v>34</v>
      </c>
      <c r="J925" s="1024" t="s">
        <v>2197</v>
      </c>
      <c r="K925" s="467"/>
      <c r="L925" s="467"/>
      <c r="M925" s="466">
        <v>3</v>
      </c>
      <c r="N925" s="469" t="str">
        <f>IF(O925="tbc","",(IFERROR(EDATE(#REF!,-3),"Invalid procurement method or date entered")))</f>
        <v>Invalid procurement method or date entered</v>
      </c>
      <c r="O925" s="470">
        <v>44256</v>
      </c>
      <c r="P925" s="471">
        <v>1</v>
      </c>
      <c r="Q925" s="471">
        <v>1</v>
      </c>
      <c r="R925" s="483">
        <v>150068</v>
      </c>
      <c r="S925" s="470" t="s">
        <v>129</v>
      </c>
      <c r="T925" s="470" t="s">
        <v>36</v>
      </c>
      <c r="U925" s="470" t="s">
        <v>125</v>
      </c>
      <c r="V925" s="470"/>
      <c r="W925" s="474" t="s">
        <v>2193</v>
      </c>
      <c r="AF925" s="1"/>
    </row>
    <row r="926" spans="1:32" ht="66">
      <c r="A926" s="852"/>
      <c r="B926" s="520" t="s">
        <v>48</v>
      </c>
      <c r="C926" s="465" t="s">
        <v>125</v>
      </c>
      <c r="D926" s="466" t="s">
        <v>60</v>
      </c>
      <c r="E926" s="466"/>
      <c r="F926" s="466"/>
      <c r="G926" s="466"/>
      <c r="H926" s="466" t="s">
        <v>127</v>
      </c>
      <c r="I926" s="474" t="s">
        <v>34</v>
      </c>
      <c r="J926" s="1024" t="s">
        <v>2198</v>
      </c>
      <c r="K926" s="467"/>
      <c r="L926" s="467"/>
      <c r="M926" s="466">
        <v>3</v>
      </c>
      <c r="N926" s="469" t="str">
        <f>IF(O926="tbc","",(IFERROR(EDATE(#REF!,-3),"Invalid procurement method or date entered")))</f>
        <v>Invalid procurement method or date entered</v>
      </c>
      <c r="O926" s="470">
        <v>44256</v>
      </c>
      <c r="P926" s="471">
        <v>1</v>
      </c>
      <c r="Q926" s="471">
        <v>1</v>
      </c>
      <c r="R926" s="483">
        <v>171017</v>
      </c>
      <c r="S926" s="470" t="s">
        <v>129</v>
      </c>
      <c r="T926" s="470" t="s">
        <v>36</v>
      </c>
      <c r="U926" s="470" t="s">
        <v>125</v>
      </c>
      <c r="V926" s="470"/>
      <c r="W926" s="474" t="s">
        <v>2193</v>
      </c>
      <c r="AF926" s="3"/>
    </row>
    <row r="927" spans="1:32" ht="66">
      <c r="A927" s="852"/>
      <c r="B927" s="520" t="s">
        <v>48</v>
      </c>
      <c r="C927" s="465" t="s">
        <v>125</v>
      </c>
      <c r="D927" s="466" t="s">
        <v>60</v>
      </c>
      <c r="E927" s="466"/>
      <c r="F927" s="466"/>
      <c r="G927" s="466"/>
      <c r="H927" s="466" t="s">
        <v>127</v>
      </c>
      <c r="I927" s="474" t="s">
        <v>34</v>
      </c>
      <c r="J927" s="1024" t="s">
        <v>2199</v>
      </c>
      <c r="K927" s="467"/>
      <c r="L927" s="467"/>
      <c r="M927" s="466">
        <v>3</v>
      </c>
      <c r="N927" s="469" t="str">
        <f>IF(O927="tbc","",(IFERROR(EDATE(#REF!,-3),"Invalid procurement method or date entered")))</f>
        <v>Invalid procurement method or date entered</v>
      </c>
      <c r="O927" s="470">
        <v>44256</v>
      </c>
      <c r="P927" s="471">
        <v>1</v>
      </c>
      <c r="Q927" s="471">
        <v>1</v>
      </c>
      <c r="R927" s="483">
        <v>155114</v>
      </c>
      <c r="S927" s="470" t="s">
        <v>129</v>
      </c>
      <c r="T927" s="470" t="s">
        <v>36</v>
      </c>
      <c r="U927" s="470" t="s">
        <v>125</v>
      </c>
      <c r="V927" s="470"/>
      <c r="W927" s="474" t="s">
        <v>2193</v>
      </c>
      <c r="AF927" s="1"/>
    </row>
    <row r="928" spans="1:32" ht="66">
      <c r="A928" s="852"/>
      <c r="B928" s="520" t="s">
        <v>48</v>
      </c>
      <c r="C928" s="465" t="s">
        <v>125</v>
      </c>
      <c r="D928" s="466" t="s">
        <v>60</v>
      </c>
      <c r="E928" s="466"/>
      <c r="F928" s="466"/>
      <c r="G928" s="466"/>
      <c r="H928" s="466" t="s">
        <v>127</v>
      </c>
      <c r="I928" s="474" t="s">
        <v>34</v>
      </c>
      <c r="J928" s="1024" t="s">
        <v>2200</v>
      </c>
      <c r="K928" s="467"/>
      <c r="L928" s="467"/>
      <c r="M928" s="466">
        <v>3</v>
      </c>
      <c r="N928" s="469" t="str">
        <f>IF(O928="tbc","",(IFERROR(EDATE(#REF!,-3),"Invalid procurement method or date entered")))</f>
        <v>Invalid procurement method or date entered</v>
      </c>
      <c r="O928" s="470">
        <v>44256</v>
      </c>
      <c r="P928" s="471">
        <v>1</v>
      </c>
      <c r="Q928" s="471">
        <v>1</v>
      </c>
      <c r="R928" s="483">
        <v>168676</v>
      </c>
      <c r="S928" s="470" t="s">
        <v>129</v>
      </c>
      <c r="T928" s="470" t="s">
        <v>36</v>
      </c>
      <c r="U928" s="470" t="s">
        <v>125</v>
      </c>
      <c r="V928" s="470"/>
      <c r="W928" s="474" t="s">
        <v>2193</v>
      </c>
      <c r="AF928" s="1"/>
    </row>
    <row r="929" spans="1:32" ht="66">
      <c r="A929" s="852"/>
      <c r="B929" s="520" t="s">
        <v>48</v>
      </c>
      <c r="C929" s="465" t="s">
        <v>125</v>
      </c>
      <c r="D929" s="466" t="s">
        <v>60</v>
      </c>
      <c r="E929" s="466"/>
      <c r="F929" s="466"/>
      <c r="G929" s="466"/>
      <c r="H929" s="466" t="s">
        <v>127</v>
      </c>
      <c r="I929" s="474" t="s">
        <v>34</v>
      </c>
      <c r="J929" s="1024" t="s">
        <v>2201</v>
      </c>
      <c r="K929" s="467"/>
      <c r="L929" s="467"/>
      <c r="M929" s="466">
        <v>3</v>
      </c>
      <c r="N929" s="469" t="str">
        <f>IF(O929="tbc","",(IFERROR(EDATE(#REF!,-3),"Invalid procurement method or date entered")))</f>
        <v>Invalid procurement method or date entered</v>
      </c>
      <c r="O929" s="470">
        <v>44256</v>
      </c>
      <c r="P929" s="471">
        <v>1</v>
      </c>
      <c r="Q929" s="471">
        <v>1</v>
      </c>
      <c r="R929" s="483">
        <v>43000</v>
      </c>
      <c r="S929" s="470" t="s">
        <v>129</v>
      </c>
      <c r="T929" s="470" t="s">
        <v>36</v>
      </c>
      <c r="U929" s="470" t="s">
        <v>125</v>
      </c>
      <c r="V929" s="470"/>
      <c r="W929" s="474" t="s">
        <v>2193</v>
      </c>
      <c r="AF929" s="1"/>
    </row>
    <row r="930" spans="1:32" ht="66">
      <c r="A930" s="852"/>
      <c r="B930" s="520" t="s">
        <v>48</v>
      </c>
      <c r="C930" s="465" t="s">
        <v>125</v>
      </c>
      <c r="D930" s="466" t="s">
        <v>60</v>
      </c>
      <c r="E930" s="466"/>
      <c r="F930" s="466"/>
      <c r="G930" s="466"/>
      <c r="H930" s="466" t="s">
        <v>127</v>
      </c>
      <c r="I930" s="474" t="s">
        <v>34</v>
      </c>
      <c r="J930" s="1024" t="s">
        <v>2202</v>
      </c>
      <c r="K930" s="467"/>
      <c r="L930" s="467"/>
      <c r="M930" s="466">
        <v>3</v>
      </c>
      <c r="N930" s="469" t="str">
        <f>IF(O930="tbc","",(IFERROR(EDATE(#REF!,-3),"Invalid procurement method or date entered")))</f>
        <v>Invalid procurement method or date entered</v>
      </c>
      <c r="O930" s="470">
        <v>44256</v>
      </c>
      <c r="P930" s="471">
        <v>1</v>
      </c>
      <c r="Q930" s="471">
        <v>1</v>
      </c>
      <c r="R930" s="483">
        <v>69304</v>
      </c>
      <c r="S930" s="470" t="s">
        <v>129</v>
      </c>
      <c r="T930" s="470" t="s">
        <v>36</v>
      </c>
      <c r="U930" s="470" t="s">
        <v>125</v>
      </c>
      <c r="V930" s="470"/>
      <c r="W930" s="474" t="s">
        <v>2193</v>
      </c>
      <c r="AF930" s="1"/>
    </row>
    <row r="931" spans="1:32" ht="66">
      <c r="A931" s="852"/>
      <c r="B931" s="520" t="s">
        <v>48</v>
      </c>
      <c r="C931" s="465" t="s">
        <v>125</v>
      </c>
      <c r="D931" s="466" t="s">
        <v>60</v>
      </c>
      <c r="E931" s="466"/>
      <c r="F931" s="466"/>
      <c r="G931" s="466"/>
      <c r="H931" s="466" t="s">
        <v>127</v>
      </c>
      <c r="I931" s="474" t="s">
        <v>34</v>
      </c>
      <c r="J931" s="1024" t="s">
        <v>2203</v>
      </c>
      <c r="K931" s="467"/>
      <c r="L931" s="467"/>
      <c r="M931" s="466">
        <v>3</v>
      </c>
      <c r="N931" s="469" t="str">
        <f>IF(O931="tbc","",(IFERROR(EDATE(#REF!,-3),"Invalid procurement method or date entered")))</f>
        <v>Invalid procurement method or date entered</v>
      </c>
      <c r="O931" s="470">
        <v>44256</v>
      </c>
      <c r="P931" s="471">
        <v>1</v>
      </c>
      <c r="Q931" s="471">
        <v>1</v>
      </c>
      <c r="R931" s="483">
        <v>58871</v>
      </c>
      <c r="S931" s="470" t="s">
        <v>129</v>
      </c>
      <c r="T931" s="470" t="s">
        <v>36</v>
      </c>
      <c r="U931" s="470" t="s">
        <v>125</v>
      </c>
      <c r="V931" s="470"/>
      <c r="W931" s="474" t="s">
        <v>2193</v>
      </c>
      <c r="AF931" s="1"/>
    </row>
    <row r="932" spans="1:32" ht="66">
      <c r="A932" s="852"/>
      <c r="B932" s="520" t="s">
        <v>48</v>
      </c>
      <c r="C932" s="465" t="s">
        <v>125</v>
      </c>
      <c r="D932" s="466" t="s">
        <v>60</v>
      </c>
      <c r="E932" s="466"/>
      <c r="F932" s="466"/>
      <c r="G932" s="466"/>
      <c r="H932" s="466" t="s">
        <v>127</v>
      </c>
      <c r="I932" s="474" t="s">
        <v>34</v>
      </c>
      <c r="J932" s="1024" t="s">
        <v>2204</v>
      </c>
      <c r="K932" s="467"/>
      <c r="L932" s="467"/>
      <c r="M932" s="466">
        <v>3</v>
      </c>
      <c r="N932" s="469" t="str">
        <f>IF(O932="tbc","",(IFERROR(EDATE(#REF!,-3),"Invalid procurement method or date entered")))</f>
        <v>Invalid procurement method or date entered</v>
      </c>
      <c r="O932" s="470">
        <v>44256</v>
      </c>
      <c r="P932" s="471">
        <v>1</v>
      </c>
      <c r="Q932" s="471">
        <v>1</v>
      </c>
      <c r="R932" s="483">
        <v>71622</v>
      </c>
      <c r="S932" s="470" t="s">
        <v>129</v>
      </c>
      <c r="T932" s="470" t="s">
        <v>36</v>
      </c>
      <c r="U932" s="470" t="s">
        <v>125</v>
      </c>
      <c r="V932" s="470"/>
      <c r="W932" s="474" t="s">
        <v>2193</v>
      </c>
      <c r="AF932" s="1"/>
    </row>
    <row r="933" spans="1:32" ht="66">
      <c r="A933" s="852"/>
      <c r="B933" s="520" t="s">
        <v>48</v>
      </c>
      <c r="C933" s="465" t="s">
        <v>125</v>
      </c>
      <c r="D933" s="466" t="s">
        <v>60</v>
      </c>
      <c r="E933" s="466"/>
      <c r="F933" s="466"/>
      <c r="G933" s="466"/>
      <c r="H933" s="466" t="s">
        <v>127</v>
      </c>
      <c r="I933" s="474" t="s">
        <v>34</v>
      </c>
      <c r="J933" s="1024" t="s">
        <v>2205</v>
      </c>
      <c r="K933" s="467"/>
      <c r="L933" s="467"/>
      <c r="M933" s="466">
        <v>3</v>
      </c>
      <c r="N933" s="469" t="str">
        <f>IF(O933="tbc","",(IFERROR(EDATE(#REF!,-3),"Invalid procurement method or date entered")))</f>
        <v>Invalid procurement method or date entered</v>
      </c>
      <c r="O933" s="470">
        <v>44256</v>
      </c>
      <c r="P933" s="471">
        <v>1</v>
      </c>
      <c r="Q933" s="471">
        <v>1</v>
      </c>
      <c r="R933" s="483">
        <v>107932</v>
      </c>
      <c r="S933" s="470" t="s">
        <v>129</v>
      </c>
      <c r="T933" s="470" t="s">
        <v>36</v>
      </c>
      <c r="U933" s="470" t="s">
        <v>125</v>
      </c>
      <c r="V933" s="470"/>
      <c r="W933" s="474" t="s">
        <v>2193</v>
      </c>
      <c r="AF933" s="1"/>
    </row>
    <row r="934" spans="1:32" ht="66">
      <c r="A934" s="852"/>
      <c r="B934" s="520" t="s">
        <v>48</v>
      </c>
      <c r="C934" s="465" t="s">
        <v>125</v>
      </c>
      <c r="D934" s="466" t="s">
        <v>60</v>
      </c>
      <c r="E934" s="466"/>
      <c r="F934" s="466"/>
      <c r="G934" s="466"/>
      <c r="H934" s="466" t="s">
        <v>127</v>
      </c>
      <c r="I934" s="474" t="s">
        <v>34</v>
      </c>
      <c r="J934" s="1024" t="s">
        <v>2206</v>
      </c>
      <c r="K934" s="467"/>
      <c r="L934" s="467"/>
      <c r="M934" s="466">
        <v>3</v>
      </c>
      <c r="N934" s="469" t="str">
        <f>IF(O934="tbc","",(IFERROR(EDATE(#REF!,-3),"Invalid procurement method or date entered")))</f>
        <v>Invalid procurement method or date entered</v>
      </c>
      <c r="O934" s="470">
        <v>44256</v>
      </c>
      <c r="P934" s="471">
        <v>1</v>
      </c>
      <c r="Q934" s="471">
        <v>1</v>
      </c>
      <c r="R934" s="483">
        <v>62194</v>
      </c>
      <c r="S934" s="470" t="s">
        <v>129</v>
      </c>
      <c r="T934" s="470" t="s">
        <v>36</v>
      </c>
      <c r="U934" s="470" t="s">
        <v>125</v>
      </c>
      <c r="V934" s="470"/>
      <c r="W934" s="474" t="s">
        <v>2193</v>
      </c>
      <c r="AF934" s="1"/>
    </row>
    <row r="935" spans="1:32" ht="66">
      <c r="A935" s="852"/>
      <c r="B935" s="520" t="s">
        <v>48</v>
      </c>
      <c r="C935" s="465" t="s">
        <v>125</v>
      </c>
      <c r="D935" s="466" t="s">
        <v>60</v>
      </c>
      <c r="E935" s="466"/>
      <c r="F935" s="466"/>
      <c r="G935" s="466"/>
      <c r="H935" s="466" t="s">
        <v>127</v>
      </c>
      <c r="I935" s="474" t="s">
        <v>34</v>
      </c>
      <c r="J935" s="1024" t="s">
        <v>2207</v>
      </c>
      <c r="K935" s="467"/>
      <c r="L935" s="467"/>
      <c r="M935" s="466">
        <v>3</v>
      </c>
      <c r="N935" s="469" t="str">
        <f>IF(O935="tbc","",(IFERROR(EDATE(#REF!,-3),"Invalid procurement method or date entered")))</f>
        <v>Invalid procurement method or date entered</v>
      </c>
      <c r="O935" s="470">
        <v>44256</v>
      </c>
      <c r="P935" s="471">
        <v>1</v>
      </c>
      <c r="Q935" s="471">
        <v>1</v>
      </c>
      <c r="R935" s="483">
        <v>110383</v>
      </c>
      <c r="S935" s="470" t="s">
        <v>129</v>
      </c>
      <c r="T935" s="470" t="s">
        <v>36</v>
      </c>
      <c r="U935" s="470" t="s">
        <v>125</v>
      </c>
      <c r="V935" s="470"/>
      <c r="W935" s="474" t="s">
        <v>2193</v>
      </c>
      <c r="AF935" s="34"/>
    </row>
    <row r="936" spans="1:32" ht="66">
      <c r="A936" s="852"/>
      <c r="B936" s="520" t="s">
        <v>48</v>
      </c>
      <c r="C936" s="465" t="s">
        <v>125</v>
      </c>
      <c r="D936" s="466" t="s">
        <v>60</v>
      </c>
      <c r="E936" s="466"/>
      <c r="F936" s="466"/>
      <c r="G936" s="466"/>
      <c r="H936" s="466" t="s">
        <v>127</v>
      </c>
      <c r="I936" s="474" t="s">
        <v>34</v>
      </c>
      <c r="J936" s="1024" t="s">
        <v>2208</v>
      </c>
      <c r="K936" s="467"/>
      <c r="L936" s="467"/>
      <c r="M936" s="466">
        <v>3</v>
      </c>
      <c r="N936" s="469" t="str">
        <f>IF(O936="tbc","",(IFERROR(EDATE(#REF!,-3),"Invalid procurement method or date entered")))</f>
        <v>Invalid procurement method or date entered</v>
      </c>
      <c r="O936" s="470">
        <v>44256</v>
      </c>
      <c r="P936" s="471">
        <v>1</v>
      </c>
      <c r="Q936" s="471">
        <v>1</v>
      </c>
      <c r="R936" s="483">
        <v>115404</v>
      </c>
      <c r="S936" s="470" t="s">
        <v>129</v>
      </c>
      <c r="T936" s="470" t="s">
        <v>36</v>
      </c>
      <c r="U936" s="470" t="s">
        <v>125</v>
      </c>
      <c r="V936" s="470"/>
      <c r="W936" s="474" t="s">
        <v>2193</v>
      </c>
      <c r="AF936" s="1"/>
    </row>
    <row r="937" spans="1:32" ht="66">
      <c r="A937" s="852"/>
      <c r="B937" s="520" t="s">
        <v>48</v>
      </c>
      <c r="C937" s="465" t="s">
        <v>125</v>
      </c>
      <c r="D937" s="466" t="s">
        <v>60</v>
      </c>
      <c r="E937" s="466"/>
      <c r="F937" s="466"/>
      <c r="G937" s="466"/>
      <c r="H937" s="466" t="s">
        <v>127</v>
      </c>
      <c r="I937" s="474" t="s">
        <v>34</v>
      </c>
      <c r="J937" s="1024" t="s">
        <v>2209</v>
      </c>
      <c r="K937" s="467"/>
      <c r="L937" s="467"/>
      <c r="M937" s="466">
        <v>3</v>
      </c>
      <c r="N937" s="469" t="str">
        <f>IF(O937="tbc","",(IFERROR(EDATE(#REF!,-3),"Invalid procurement method or date entered")))</f>
        <v>Invalid procurement method or date entered</v>
      </c>
      <c r="O937" s="470">
        <v>44256</v>
      </c>
      <c r="P937" s="471">
        <v>1</v>
      </c>
      <c r="Q937" s="471">
        <v>1</v>
      </c>
      <c r="R937" s="483">
        <v>50943</v>
      </c>
      <c r="S937" s="470" t="s">
        <v>129</v>
      </c>
      <c r="T937" s="470" t="s">
        <v>36</v>
      </c>
      <c r="U937" s="470" t="s">
        <v>125</v>
      </c>
      <c r="V937" s="470"/>
      <c r="W937" s="474" t="s">
        <v>2193</v>
      </c>
    </row>
    <row r="938" spans="1:32" ht="66">
      <c r="A938" s="852"/>
      <c r="B938" s="520" t="s">
        <v>48</v>
      </c>
      <c r="C938" s="465" t="s">
        <v>125</v>
      </c>
      <c r="D938" s="466" t="s">
        <v>60</v>
      </c>
      <c r="E938" s="466"/>
      <c r="F938" s="466"/>
      <c r="G938" s="466"/>
      <c r="H938" s="466" t="s">
        <v>127</v>
      </c>
      <c r="I938" s="474" t="s">
        <v>34</v>
      </c>
      <c r="J938" s="1024" t="s">
        <v>2210</v>
      </c>
      <c r="K938" s="467"/>
      <c r="L938" s="467"/>
      <c r="M938" s="466">
        <v>3</v>
      </c>
      <c r="N938" s="469" t="str">
        <f>IF(O938="tbc","",(IFERROR(EDATE(#REF!,-3),"Invalid procurement method or date entered")))</f>
        <v>Invalid procurement method or date entered</v>
      </c>
      <c r="O938" s="470">
        <v>44256</v>
      </c>
      <c r="P938" s="471">
        <v>1</v>
      </c>
      <c r="Q938" s="471">
        <v>1</v>
      </c>
      <c r="R938" s="483">
        <v>53987</v>
      </c>
      <c r="S938" s="470" t="s">
        <v>129</v>
      </c>
      <c r="T938" s="470" t="s">
        <v>36</v>
      </c>
      <c r="U938" s="470" t="s">
        <v>125</v>
      </c>
      <c r="V938" s="470"/>
      <c r="W938" s="474" t="s">
        <v>2193</v>
      </c>
    </row>
    <row r="939" spans="1:32" ht="66">
      <c r="A939" s="852"/>
      <c r="B939" s="520" t="s">
        <v>48</v>
      </c>
      <c r="C939" s="465" t="s">
        <v>125</v>
      </c>
      <c r="D939" s="466" t="s">
        <v>60</v>
      </c>
      <c r="E939" s="466"/>
      <c r="F939" s="466"/>
      <c r="G939" s="466"/>
      <c r="H939" s="466" t="s">
        <v>127</v>
      </c>
      <c r="I939" s="474" t="s">
        <v>34</v>
      </c>
      <c r="J939" s="1024" t="s">
        <v>2215</v>
      </c>
      <c r="K939" s="467"/>
      <c r="L939" s="467"/>
      <c r="M939" s="466">
        <v>1</v>
      </c>
      <c r="N939" s="469" t="str">
        <f>IF(O939="tbc","",(IFERROR(EDATE(#REF!,-3),"Invalid procurement method or date entered")))</f>
        <v>Invalid procurement method or date entered</v>
      </c>
      <c r="O939" s="470">
        <v>44256</v>
      </c>
      <c r="P939" s="485" t="s">
        <v>125</v>
      </c>
      <c r="Q939" s="485" t="s">
        <v>125</v>
      </c>
      <c r="R939" s="483">
        <v>25000</v>
      </c>
      <c r="S939" s="470" t="s">
        <v>163</v>
      </c>
      <c r="T939" s="470" t="s">
        <v>36</v>
      </c>
      <c r="U939" s="470" t="s">
        <v>125</v>
      </c>
      <c r="V939" s="470"/>
      <c r="W939" s="474" t="s">
        <v>130</v>
      </c>
    </row>
    <row r="940" spans="1:32" ht="66">
      <c r="A940" s="852"/>
      <c r="B940" s="520" t="s">
        <v>48</v>
      </c>
      <c r="C940" s="465" t="s">
        <v>2245</v>
      </c>
      <c r="D940" s="466" t="s">
        <v>60</v>
      </c>
      <c r="E940" s="466"/>
      <c r="F940" s="466"/>
      <c r="G940" s="466"/>
      <c r="H940" s="466" t="s">
        <v>127</v>
      </c>
      <c r="I940" s="474" t="s">
        <v>34</v>
      </c>
      <c r="J940" s="1024" t="s">
        <v>2246</v>
      </c>
      <c r="K940" s="467"/>
      <c r="L940" s="467"/>
      <c r="M940" s="466">
        <v>1</v>
      </c>
      <c r="N940" s="469" t="str">
        <f>IF(O940="tbc","",(IFERROR(EDATE(#REF!,-3),"Invalid procurement method or date entered")))</f>
        <v>Invalid procurement method or date entered</v>
      </c>
      <c r="O940" s="470">
        <v>44256</v>
      </c>
      <c r="P940" s="471">
        <v>0.25</v>
      </c>
      <c r="Q940" s="471">
        <v>0.25</v>
      </c>
      <c r="R940" s="483">
        <v>25000</v>
      </c>
      <c r="S940" s="470" t="s">
        <v>163</v>
      </c>
      <c r="T940" s="470" t="s">
        <v>36</v>
      </c>
      <c r="U940" s="470" t="s">
        <v>125</v>
      </c>
      <c r="V940" s="470"/>
      <c r="W940" s="474" t="s">
        <v>2012</v>
      </c>
    </row>
    <row r="941" spans="1:32" ht="66">
      <c r="A941" s="852"/>
      <c r="B941" s="520" t="s">
        <v>48</v>
      </c>
      <c r="C941" s="466" t="s">
        <v>2262</v>
      </c>
      <c r="D941" s="484" t="s">
        <v>60</v>
      </c>
      <c r="E941" s="484"/>
      <c r="F941" s="484"/>
      <c r="G941" s="484"/>
      <c r="H941" s="484" t="s">
        <v>127</v>
      </c>
      <c r="I941" s="467" t="s">
        <v>34</v>
      </c>
      <c r="J941" s="549" t="s">
        <v>2263</v>
      </c>
      <c r="K941" s="484"/>
      <c r="L941" s="484"/>
      <c r="M941" s="466">
        <v>1</v>
      </c>
      <c r="N941" s="469" t="str">
        <f>IF(O941="tbc","",(IFERROR(EDATE(#REF!,-3),"Invalid procurement method or date entered")))</f>
        <v>Invalid procurement method or date entered</v>
      </c>
      <c r="O941" s="470">
        <v>44256</v>
      </c>
      <c r="P941" s="474">
        <v>1</v>
      </c>
      <c r="Q941" s="485" t="s">
        <v>125</v>
      </c>
      <c r="R941" s="483">
        <v>120000</v>
      </c>
      <c r="S941" s="470" t="s">
        <v>163</v>
      </c>
      <c r="T941" s="470" t="s">
        <v>36</v>
      </c>
      <c r="U941" s="466" t="s">
        <v>125</v>
      </c>
      <c r="V941" s="466"/>
      <c r="W941" s="579" t="s">
        <v>1543</v>
      </c>
    </row>
    <row r="942" spans="1:32" ht="66">
      <c r="A942" s="852"/>
      <c r="B942" s="520" t="s">
        <v>48</v>
      </c>
      <c r="C942" s="465" t="s">
        <v>2270</v>
      </c>
      <c r="D942" s="466" t="s">
        <v>60</v>
      </c>
      <c r="E942" s="466"/>
      <c r="F942" s="466"/>
      <c r="G942" s="466"/>
      <c r="H942" s="466" t="s">
        <v>127</v>
      </c>
      <c r="I942" s="474" t="s">
        <v>34</v>
      </c>
      <c r="J942" s="549" t="s">
        <v>2271</v>
      </c>
      <c r="K942" s="484"/>
      <c r="L942" s="484"/>
      <c r="M942" s="466">
        <v>3</v>
      </c>
      <c r="N942" s="469" t="str">
        <f>IF(O942="tbc","",(IFERROR(EDATE(#REF!,-3),"Invalid procurement method or date entered")))</f>
        <v>Invalid procurement method or date entered</v>
      </c>
      <c r="O942" s="469">
        <v>44256</v>
      </c>
      <c r="P942" s="491">
        <v>2</v>
      </c>
      <c r="Q942" s="491">
        <v>2</v>
      </c>
      <c r="R942" s="493">
        <v>100000</v>
      </c>
      <c r="S942" s="470" t="s">
        <v>129</v>
      </c>
      <c r="T942" s="491" t="s">
        <v>36</v>
      </c>
      <c r="U942" s="469">
        <v>43700</v>
      </c>
      <c r="V942" s="469"/>
      <c r="W942" s="474" t="s">
        <v>549</v>
      </c>
    </row>
    <row r="943" spans="1:32" ht="66">
      <c r="A943" s="852"/>
      <c r="B943" s="520" t="s">
        <v>48</v>
      </c>
      <c r="C943" s="465" t="s">
        <v>2272</v>
      </c>
      <c r="D943" s="466" t="s">
        <v>60</v>
      </c>
      <c r="E943" s="466"/>
      <c r="F943" s="466"/>
      <c r="G943" s="466"/>
      <c r="H943" s="466" t="s">
        <v>127</v>
      </c>
      <c r="I943" s="474" t="s">
        <v>34</v>
      </c>
      <c r="J943" s="549" t="s">
        <v>2273</v>
      </c>
      <c r="K943" s="484"/>
      <c r="L943" s="484"/>
      <c r="M943" s="466">
        <v>1</v>
      </c>
      <c r="N943" s="469" t="str">
        <f>IF(O943="tbc","",(IFERROR(EDATE(#REF!,-3),"Invalid procurement method or date entered")))</f>
        <v>Invalid procurement method or date entered</v>
      </c>
      <c r="O943" s="469">
        <v>44256</v>
      </c>
      <c r="P943" s="491" t="s">
        <v>2274</v>
      </c>
      <c r="Q943" s="491" t="s">
        <v>2274</v>
      </c>
      <c r="R943" s="493">
        <v>60000</v>
      </c>
      <c r="S943" s="491" t="s">
        <v>163</v>
      </c>
      <c r="T943" s="491" t="s">
        <v>36</v>
      </c>
      <c r="U943" s="469">
        <v>43700</v>
      </c>
      <c r="V943" s="469"/>
      <c r="W943" s="474" t="s">
        <v>549</v>
      </c>
    </row>
    <row r="944" spans="1:32" ht="66">
      <c r="A944" s="852"/>
      <c r="B944" s="520" t="s">
        <v>48</v>
      </c>
      <c r="C944" s="465" t="s">
        <v>100</v>
      </c>
      <c r="D944" s="466" t="s">
        <v>29</v>
      </c>
      <c r="E944" s="466"/>
      <c r="F944" s="466"/>
      <c r="G944" s="466"/>
      <c r="H944" s="466" t="s">
        <v>49</v>
      </c>
      <c r="I944" s="474" t="s">
        <v>64</v>
      </c>
      <c r="J944" s="1024" t="s">
        <v>2275</v>
      </c>
      <c r="K944" s="467"/>
      <c r="L944" s="467"/>
      <c r="M944" s="466">
        <v>14</v>
      </c>
      <c r="N944" s="469" t="str">
        <f>IF(O944="tbc","",(IFERROR(EDATE(#REF!,-3),"Invalid procurement method or date entered")))</f>
        <v>Invalid procurement method or date entered</v>
      </c>
      <c r="O944" s="470">
        <v>44256</v>
      </c>
      <c r="P944" s="471">
        <v>12</v>
      </c>
      <c r="Q944" s="471">
        <v>12</v>
      </c>
      <c r="R944" s="483" t="s">
        <v>125</v>
      </c>
      <c r="S944" s="470" t="s">
        <v>125</v>
      </c>
      <c r="T944" s="470" t="s">
        <v>125</v>
      </c>
      <c r="U944" s="470" t="s">
        <v>125</v>
      </c>
      <c r="V944" s="470"/>
      <c r="W944" s="474" t="s">
        <v>406</v>
      </c>
    </row>
    <row r="945" spans="1:31" ht="66">
      <c r="A945" s="852"/>
      <c r="B945" s="520" t="s">
        <v>48</v>
      </c>
      <c r="C945" s="465" t="s">
        <v>2282</v>
      </c>
      <c r="D945" s="466" t="s">
        <v>60</v>
      </c>
      <c r="E945" s="466"/>
      <c r="F945" s="466"/>
      <c r="G945" s="466"/>
      <c r="H945" s="466" t="s">
        <v>127</v>
      </c>
      <c r="I945" s="474" t="s">
        <v>34</v>
      </c>
      <c r="J945" s="1024" t="s">
        <v>2283</v>
      </c>
      <c r="K945" s="467"/>
      <c r="L945" s="467"/>
      <c r="M945" s="466">
        <v>1</v>
      </c>
      <c r="N945" s="469" t="str">
        <f>IF(O945="tbc","",(IFERROR(EDATE(#REF!,-3),"Invalid procurement method or date entered")))</f>
        <v>Invalid procurement method or date entered</v>
      </c>
      <c r="O945" s="470">
        <v>44256</v>
      </c>
      <c r="P945" s="485" t="s">
        <v>125</v>
      </c>
      <c r="Q945" s="485" t="s">
        <v>125</v>
      </c>
      <c r="R945" s="483">
        <v>30000</v>
      </c>
      <c r="S945" s="470" t="s">
        <v>163</v>
      </c>
      <c r="T945" s="470" t="s">
        <v>465</v>
      </c>
      <c r="U945" s="470" t="s">
        <v>125</v>
      </c>
      <c r="V945" s="470"/>
      <c r="W945" s="474" t="s">
        <v>1514</v>
      </c>
    </row>
    <row r="946" spans="1:31" ht="66">
      <c r="A946" s="852"/>
      <c r="B946" s="520" t="s">
        <v>48</v>
      </c>
      <c r="C946" s="580" t="s">
        <v>2285</v>
      </c>
      <c r="D946" s="580" t="s">
        <v>60</v>
      </c>
      <c r="E946" s="580"/>
      <c r="F946" s="580"/>
      <c r="G946" s="580"/>
      <c r="H946" s="580" t="s">
        <v>127</v>
      </c>
      <c r="I946" s="581" t="s">
        <v>34</v>
      </c>
      <c r="J946" s="551" t="s">
        <v>2286</v>
      </c>
      <c r="K946" s="546"/>
      <c r="L946" s="546"/>
      <c r="M946" s="580">
        <v>0</v>
      </c>
      <c r="N946" s="582" t="str">
        <f>IF(O946="tbc","",(IFERROR(EDATE(#REF!,-3),"Invalid procurement method or date entered")))</f>
        <v>Invalid procurement method or date entered</v>
      </c>
      <c r="O946" s="571">
        <v>44256</v>
      </c>
      <c r="P946" s="583">
        <v>1</v>
      </c>
      <c r="Q946" s="583">
        <v>1</v>
      </c>
      <c r="R946" s="584">
        <v>504974</v>
      </c>
      <c r="S946" s="571" t="s">
        <v>129</v>
      </c>
      <c r="T946" s="571" t="s">
        <v>144</v>
      </c>
      <c r="U946" s="580" t="s">
        <v>125</v>
      </c>
      <c r="V946" s="580"/>
      <c r="W946" s="585" t="s">
        <v>2073</v>
      </c>
    </row>
    <row r="947" spans="1:31" ht="264">
      <c r="A947" s="852"/>
      <c r="B947" s="520" t="s">
        <v>48</v>
      </c>
      <c r="C947" s="465" t="s">
        <v>125</v>
      </c>
      <c r="D947" s="466" t="s">
        <v>60</v>
      </c>
      <c r="E947" s="466"/>
      <c r="F947" s="466"/>
      <c r="G947" s="466"/>
      <c r="H947" s="466" t="s">
        <v>127</v>
      </c>
      <c r="I947" s="474" t="s">
        <v>34</v>
      </c>
      <c r="J947" s="1036" t="s">
        <v>2305</v>
      </c>
      <c r="K947" s="487"/>
      <c r="L947" s="466">
        <v>3</v>
      </c>
      <c r="M947" s="469">
        <f>IF(O947="tbc","",(IFERROR(EDATE($N947,-3),"Invalid procurement method or date entered")))</f>
        <v>44075</v>
      </c>
      <c r="N947" s="469">
        <f>IF(O947="tbc","",(IFERROR(EDATE(O947,-L947),"Invalid procurement method or date entered")))</f>
        <v>44166</v>
      </c>
      <c r="O947" s="470">
        <v>44256</v>
      </c>
      <c r="P947" s="471">
        <v>2</v>
      </c>
      <c r="Q947" s="471">
        <v>2</v>
      </c>
      <c r="R947" s="483">
        <f>SUM(220150+464148+91593+140977+150068+171017+155114+168676+43000+69304+58871+71622+107932+62194+110383+115404+50943+53987)</f>
        <v>2305383</v>
      </c>
      <c r="S947" s="470" t="s">
        <v>129</v>
      </c>
      <c r="T947" s="470" t="s">
        <v>36</v>
      </c>
      <c r="U947" s="470" t="s">
        <v>125</v>
      </c>
      <c r="V947" s="470"/>
      <c r="W947" s="466"/>
    </row>
    <row r="948" spans="1:31" ht="52.8">
      <c r="A948" s="852"/>
      <c r="B948" s="520" t="s">
        <v>48</v>
      </c>
      <c r="C948" s="465" t="s">
        <v>125</v>
      </c>
      <c r="D948" s="466" t="s">
        <v>60</v>
      </c>
      <c r="E948" s="466"/>
      <c r="F948" s="466"/>
      <c r="G948" s="466"/>
      <c r="H948" s="466" t="s">
        <v>127</v>
      </c>
      <c r="I948" s="474" t="s">
        <v>34</v>
      </c>
      <c r="J948" s="1024" t="s">
        <v>2311</v>
      </c>
      <c r="K948" s="467"/>
      <c r="L948" s="466">
        <v>0</v>
      </c>
      <c r="M948" s="469">
        <v>44228</v>
      </c>
      <c r="N948" s="469">
        <f>IF(O948="tbc","",(IFERROR(EDATE(O948,-L948),"Invalid procurement method or date entered")))</f>
        <v>44256</v>
      </c>
      <c r="O948" s="470">
        <v>44256</v>
      </c>
      <c r="P948" s="485" t="s">
        <v>125</v>
      </c>
      <c r="Q948" s="485" t="s">
        <v>125</v>
      </c>
      <c r="R948" s="483">
        <v>25000</v>
      </c>
      <c r="S948" s="470" t="s">
        <v>163</v>
      </c>
      <c r="T948" s="470" t="s">
        <v>36</v>
      </c>
      <c r="U948" s="470" t="s">
        <v>125</v>
      </c>
      <c r="V948" s="470"/>
      <c r="W948" s="513" t="s">
        <v>1304</v>
      </c>
    </row>
    <row r="949" spans="1:31" ht="39.6">
      <c r="A949" s="852"/>
      <c r="B949" s="520" t="s">
        <v>48</v>
      </c>
      <c r="C949" s="465" t="s">
        <v>125</v>
      </c>
      <c r="D949" s="466" t="s">
        <v>82</v>
      </c>
      <c r="E949" s="466"/>
      <c r="F949" s="466"/>
      <c r="G949" s="466"/>
      <c r="H949" s="466" t="s">
        <v>49</v>
      </c>
      <c r="I949" s="474" t="s">
        <v>34</v>
      </c>
      <c r="J949" s="549" t="s">
        <v>2497</v>
      </c>
      <c r="K949" s="484"/>
      <c r="L949" s="466">
        <v>12</v>
      </c>
      <c r="M949" s="468">
        <f>IF(O949="tbc","",(IFERROR(EDATE($N949,-3),"Invalid procurement method or date entered")))</f>
        <v>43800</v>
      </c>
      <c r="N949" s="469">
        <f>IF(O949="tbc","",(IFERROR(EDATE(O949,-L949),"Invalid procurement method or date entered")))</f>
        <v>43891</v>
      </c>
      <c r="O949" s="507">
        <v>44256</v>
      </c>
      <c r="P949" s="491">
        <v>32</v>
      </c>
      <c r="Q949" s="491" t="s">
        <v>2498</v>
      </c>
      <c r="R949" s="493">
        <f>60000*4</f>
        <v>240000</v>
      </c>
      <c r="S949" s="491" t="s">
        <v>109</v>
      </c>
      <c r="T949" s="470" t="s">
        <v>144</v>
      </c>
      <c r="U949" s="469" t="s">
        <v>125</v>
      </c>
      <c r="V949" s="469"/>
      <c r="W949" s="354" t="s">
        <v>41</v>
      </c>
    </row>
    <row r="950" spans="1:31" ht="57.6">
      <c r="A950" s="889"/>
      <c r="B950" s="114"/>
      <c r="C950" s="1351" t="s">
        <v>3862</v>
      </c>
      <c r="D950" s="9" t="s">
        <v>29</v>
      </c>
      <c r="E950" s="9"/>
      <c r="F950" s="9"/>
      <c r="G950" s="9"/>
      <c r="H950" s="5" t="s">
        <v>70</v>
      </c>
      <c r="I950" s="5" t="s">
        <v>64</v>
      </c>
      <c r="J950" s="16" t="s">
        <v>3003</v>
      </c>
      <c r="K950" s="16"/>
      <c r="L950" s="16"/>
      <c r="M950" s="176">
        <v>44105</v>
      </c>
      <c r="N950" s="176"/>
      <c r="O950" s="176">
        <v>44259</v>
      </c>
      <c r="P950" s="12">
        <v>36</v>
      </c>
      <c r="Q950" s="13" t="s">
        <v>1086</v>
      </c>
      <c r="R950" s="18">
        <v>42750</v>
      </c>
      <c r="S950" s="5" t="s">
        <v>66</v>
      </c>
      <c r="T950" s="9" t="s">
        <v>54</v>
      </c>
      <c r="U950" s="15" t="s">
        <v>37</v>
      </c>
      <c r="V950" s="15"/>
      <c r="W950" s="5" t="s">
        <v>286</v>
      </c>
      <c r="X950" s="74" t="s">
        <v>1088</v>
      </c>
      <c r="Y950" s="74" t="s">
        <v>457</v>
      </c>
      <c r="Z950" s="74"/>
      <c r="AA950" s="74"/>
      <c r="AB950" s="316" t="s">
        <v>3429</v>
      </c>
      <c r="AC950" s="95" t="s">
        <v>3863</v>
      </c>
      <c r="AD950" s="70" t="s">
        <v>3483</v>
      </c>
      <c r="AE950" s="442">
        <v>14250</v>
      </c>
    </row>
    <row r="951" spans="1:31" ht="57.6">
      <c r="A951" s="888"/>
      <c r="B951" s="114"/>
      <c r="C951" s="1351" t="s">
        <v>3862</v>
      </c>
      <c r="D951" s="9" t="s">
        <v>29</v>
      </c>
      <c r="E951" s="9"/>
      <c r="F951" s="9"/>
      <c r="G951" s="9"/>
      <c r="H951" s="5" t="s">
        <v>70</v>
      </c>
      <c r="I951" s="5" t="s">
        <v>64</v>
      </c>
      <c r="J951" s="16" t="s">
        <v>3003</v>
      </c>
      <c r="K951" s="16"/>
      <c r="L951" s="16"/>
      <c r="M951" s="176">
        <v>44105</v>
      </c>
      <c r="N951" s="176"/>
      <c r="O951" s="176">
        <v>44259</v>
      </c>
      <c r="P951" s="12">
        <v>36</v>
      </c>
      <c r="Q951" s="13" t="s">
        <v>1086</v>
      </c>
      <c r="R951" s="18">
        <v>42750</v>
      </c>
      <c r="S951" s="5" t="s">
        <v>66</v>
      </c>
      <c r="T951" s="9" t="s">
        <v>54</v>
      </c>
      <c r="U951" s="15" t="s">
        <v>37</v>
      </c>
      <c r="V951" s="15"/>
      <c r="W951" s="5" t="s">
        <v>286</v>
      </c>
      <c r="X951" s="74" t="s">
        <v>1088</v>
      </c>
      <c r="Y951" s="74" t="s">
        <v>457</v>
      </c>
      <c r="Z951" s="74"/>
      <c r="AA951" s="74"/>
      <c r="AB951" s="316" t="s">
        <v>3429</v>
      </c>
      <c r="AC951" s="95" t="s">
        <v>3863</v>
      </c>
      <c r="AD951" s="70" t="s">
        <v>3483</v>
      </c>
      <c r="AE951" s="442">
        <v>14250</v>
      </c>
    </row>
    <row r="952" spans="1:31" ht="187.2">
      <c r="A952" s="852"/>
      <c r="B952" s="114"/>
      <c r="C952" s="1351" t="s">
        <v>439</v>
      </c>
      <c r="D952" s="9" t="s">
        <v>29</v>
      </c>
      <c r="E952" s="9"/>
      <c r="F952" s="9"/>
      <c r="G952" s="9"/>
      <c r="H952" s="5" t="s">
        <v>70</v>
      </c>
      <c r="I952" s="15" t="s">
        <v>64</v>
      </c>
      <c r="J952" s="16" t="s">
        <v>3864</v>
      </c>
      <c r="K952" s="16"/>
      <c r="L952" s="5" t="e">
        <f>IF(OR(S952=#REF!,S952=#REF!,S952=#REF!,S952=#REF!,S952=#REF!,S952=#REF!,S952=#REF!,S952=#REF!),12,IF(OR(S952=#REF!,S952=#REF!,S952=#REF!,S952=#REF!,S952=#REF!,S952=#REF!,S952=#REF!),3,IF(S952=#REF!,1,IF(S952=#REF!,18,IF(OR(S952=#REF!,S952=#REF!,S952=#REF!,S952=#REF!,S952=#REF!),14,"Invalid proposed procurement method")))))</f>
        <v>#REF!</v>
      </c>
      <c r="M952" s="193" t="str">
        <f>IFERROR(EDATE($N952,-3),"Invalid procurement method or date entered")</f>
        <v>Invalid procurement method or date entered</v>
      </c>
      <c r="N952" s="193" t="str">
        <f t="shared" ref="N952:N957" si="2">IFERROR(EDATE(O952,-L952),"Invalid procurement method or date entered")</f>
        <v>Invalid procurement method or date entered</v>
      </c>
      <c r="O952" s="177">
        <v>44263</v>
      </c>
      <c r="P952" s="15">
        <v>96</v>
      </c>
      <c r="Q952" s="258" t="s">
        <v>3865</v>
      </c>
      <c r="R952" s="18">
        <v>168150</v>
      </c>
      <c r="S952" s="5" t="s">
        <v>66</v>
      </c>
      <c r="T952" s="49" t="s">
        <v>36</v>
      </c>
      <c r="U952" s="45" t="s">
        <v>37</v>
      </c>
      <c r="V952" s="45"/>
      <c r="W952" s="9" t="s">
        <v>1140</v>
      </c>
      <c r="X952" s="449" t="s">
        <v>1088</v>
      </c>
      <c r="Y952" s="74" t="s">
        <v>457</v>
      </c>
      <c r="Z952" s="74"/>
      <c r="AA952" s="1356" t="s">
        <v>41</v>
      </c>
      <c r="AB952" s="316" t="s">
        <v>1250</v>
      </c>
      <c r="AC952" s="747" t="s">
        <v>3866</v>
      </c>
      <c r="AD952" s="74" t="s">
        <v>3653</v>
      </c>
      <c r="AE952" s="864">
        <v>22137</v>
      </c>
    </row>
    <row r="953" spans="1:31" ht="43.2">
      <c r="A953" s="889"/>
      <c r="B953" s="4"/>
      <c r="C953" s="4" t="s">
        <v>35</v>
      </c>
      <c r="D953" s="9" t="s">
        <v>29</v>
      </c>
      <c r="E953" s="9"/>
      <c r="F953" s="9"/>
      <c r="G953" s="9"/>
      <c r="H953" s="5" t="s">
        <v>70</v>
      </c>
      <c r="I953" s="5" t="s">
        <v>34</v>
      </c>
      <c r="J953" s="1035" t="s">
        <v>3867</v>
      </c>
      <c r="K953" s="61"/>
      <c r="L953" s="5">
        <v>6</v>
      </c>
      <c r="M953" s="193">
        <f>IFERROR(EDATE($N953,-3),"Invalid procurement method or date entered")</f>
        <v>43991</v>
      </c>
      <c r="N953" s="193">
        <f t="shared" si="2"/>
        <v>44083</v>
      </c>
      <c r="O953" s="176">
        <v>44264</v>
      </c>
      <c r="P953" s="12">
        <v>12</v>
      </c>
      <c r="Q953" s="7" t="s">
        <v>108</v>
      </c>
      <c r="R953" s="18">
        <v>3586.24</v>
      </c>
      <c r="S953" s="5" t="s">
        <v>909</v>
      </c>
      <c r="T953" s="49" t="s">
        <v>54</v>
      </c>
      <c r="U953" s="45" t="s">
        <v>37</v>
      </c>
      <c r="V953" s="45"/>
      <c r="W953" s="12" t="s">
        <v>301</v>
      </c>
      <c r="X953" s="819" t="s">
        <v>73</v>
      </c>
      <c r="Y953" s="74" t="s">
        <v>39</v>
      </c>
      <c r="Z953" s="74"/>
      <c r="AA953" s="74" t="s">
        <v>54</v>
      </c>
      <c r="AB953" s="316" t="s">
        <v>1269</v>
      </c>
      <c r="AC953" s="1341" t="s">
        <v>1246</v>
      </c>
      <c r="AD953" s="74" t="s">
        <v>141</v>
      </c>
      <c r="AE953" s="204"/>
    </row>
    <row r="954" spans="1:31" ht="72">
      <c r="A954" s="888"/>
      <c r="B954" s="4"/>
      <c r="C954" s="4" t="s">
        <v>3868</v>
      </c>
      <c r="D954" s="9" t="s">
        <v>60</v>
      </c>
      <c r="E954" s="9"/>
      <c r="F954" s="9"/>
      <c r="G954" s="9"/>
      <c r="H954" s="5" t="s">
        <v>171</v>
      </c>
      <c r="I954" s="5" t="s">
        <v>34</v>
      </c>
      <c r="J954" s="16" t="s">
        <v>3869</v>
      </c>
      <c r="K954" s="16"/>
      <c r="L954" s="5" t="e">
        <f>IF(OR(S954=#REF!,S954=#REF!,S954=#REF!,S954=#REF!,S954=#REF!,S954=#REF!,S954=#REF!,S954=#REF!),12,IF(OR(S954=#REF!,S954=#REF!,S954=#REF!,S954=#REF!,S954=#REF!,S954=#REF!,S954=#REF!),3,IF(S954=#REF!,1,IF(S954=#REF!,18,IF(OR(S954=#REF!,S954=#REF!,S954=#REF!,S954=#REF!,S954=#REF!),14,"Invalid proposed procurement method")))))</f>
        <v>#REF!</v>
      </c>
      <c r="M954" s="193" t="str">
        <f>IFERROR(EDATE($N954,-3),"Invalid procurement method or date entered")</f>
        <v>Invalid procurement method or date entered</v>
      </c>
      <c r="N954" s="193" t="str">
        <f t="shared" si="2"/>
        <v>Invalid procurement method or date entered</v>
      </c>
      <c r="O954" s="176">
        <v>44270</v>
      </c>
      <c r="P954" s="12">
        <v>6</v>
      </c>
      <c r="Q954" s="13" t="s">
        <v>1281</v>
      </c>
      <c r="R954" s="18">
        <v>40000</v>
      </c>
      <c r="S954" s="5" t="s">
        <v>163</v>
      </c>
      <c r="T954" s="49" t="s">
        <v>54</v>
      </c>
      <c r="U954" s="45" t="s">
        <v>43</v>
      </c>
      <c r="V954" s="45"/>
      <c r="W954" s="5" t="s">
        <v>1124</v>
      </c>
      <c r="X954" s="74" t="s">
        <v>175</v>
      </c>
      <c r="Y954" s="74" t="s">
        <v>457</v>
      </c>
      <c r="Z954" s="74"/>
      <c r="AA954" s="74" t="s">
        <v>54</v>
      </c>
      <c r="AB954" s="316" t="s">
        <v>1269</v>
      </c>
      <c r="AC954" s="95" t="s">
        <v>3870</v>
      </c>
      <c r="AD954" s="74" t="s">
        <v>171</v>
      </c>
      <c r="AE954" s="1372"/>
    </row>
    <row r="955" spans="1:31" ht="43.2">
      <c r="A955" s="888"/>
      <c r="B955" s="114"/>
      <c r="C955" s="1351" t="s">
        <v>35</v>
      </c>
      <c r="D955" s="1330" t="s">
        <v>60</v>
      </c>
      <c r="E955" s="1330"/>
      <c r="F955" s="1330"/>
      <c r="G955" s="1330"/>
      <c r="H955" s="1335" t="s">
        <v>304</v>
      </c>
      <c r="I955" s="1330" t="s">
        <v>34</v>
      </c>
      <c r="J955" s="1351" t="s">
        <v>3871</v>
      </c>
      <c r="K955" s="1351"/>
      <c r="L955" s="5">
        <v>3</v>
      </c>
      <c r="M955" s="193">
        <f>IFERROR(EDATE($N955,-3),"Invalid procurement method or date entered")</f>
        <v>44089</v>
      </c>
      <c r="N955" s="193">
        <f t="shared" si="2"/>
        <v>44180</v>
      </c>
      <c r="O955" s="140">
        <v>44270</v>
      </c>
      <c r="P955" s="1330">
        <v>3</v>
      </c>
      <c r="Q955" s="1335">
        <v>3</v>
      </c>
      <c r="R955" s="1422">
        <v>45050</v>
      </c>
      <c r="S955" s="177" t="s">
        <v>217</v>
      </c>
      <c r="T955" s="1330" t="s">
        <v>54</v>
      </c>
      <c r="U955" s="1330" t="s">
        <v>43</v>
      </c>
      <c r="V955" s="1330"/>
      <c r="W955" s="1330" t="s">
        <v>3872</v>
      </c>
      <c r="X955" s="819" t="s">
        <v>90</v>
      </c>
      <c r="Y955" s="1356" t="s">
        <v>39</v>
      </c>
      <c r="Z955" s="74"/>
      <c r="AA955" s="1356"/>
      <c r="AB955" s="316" t="s">
        <v>1269</v>
      </c>
      <c r="AC955" s="1331" t="s">
        <v>3873</v>
      </c>
      <c r="AD955" s="1356" t="s">
        <v>171</v>
      </c>
      <c r="AE955" s="863"/>
    </row>
    <row r="956" spans="1:31" ht="86.4">
      <c r="A956" s="901"/>
      <c r="B956" s="4"/>
      <c r="C956" s="194" t="s">
        <v>35</v>
      </c>
      <c r="D956" s="9" t="s">
        <v>29</v>
      </c>
      <c r="E956" s="9"/>
      <c r="F956" s="9"/>
      <c r="G956" s="9"/>
      <c r="H956" s="5" t="s">
        <v>70</v>
      </c>
      <c r="I956" s="5" t="s">
        <v>34</v>
      </c>
      <c r="J956" s="16" t="s">
        <v>2935</v>
      </c>
      <c r="K956" s="8"/>
      <c r="L956" s="5" t="e">
        <f>IF(OR(S956=#REF!,S956=#REF!,S956=#REF!,S956=#REF!,S956=#REF!,S956=#REF!,S956=#REF!,S956=#REF!),12,IF(OR(S956=#REF!,S956=#REF!,S956=#REF!,S956=#REF!,S956=#REF!,S956=#REF!,S956=#REF!),3,IF(S956=#REF!,1,IF(S956=#REF!,18,IF(OR(S956=#REF!,S956=#REF!,S956=#REF!,S956=#REF!,S956=#REF!),14,"Invalid proposed procurement method")))))</f>
        <v>#REF!</v>
      </c>
      <c r="M956" s="193" t="str">
        <f>IFERROR(EDATE($N956,-3),"Invalid procurement method or date entered")</f>
        <v>Invalid procurement method or date entered</v>
      </c>
      <c r="N956" s="193" t="str">
        <f t="shared" si="2"/>
        <v>Invalid procurement method or date entered</v>
      </c>
      <c r="O956" s="14">
        <v>44273</v>
      </c>
      <c r="P956" s="12" t="s">
        <v>35</v>
      </c>
      <c r="Q956" s="5" t="s">
        <v>35</v>
      </c>
      <c r="R956" s="18" t="s">
        <v>35</v>
      </c>
      <c r="S956" s="5" t="s">
        <v>35</v>
      </c>
      <c r="T956" s="5" t="s">
        <v>54</v>
      </c>
      <c r="U956" s="12" t="s">
        <v>37</v>
      </c>
      <c r="V956" s="12"/>
      <c r="W956" s="5" t="s">
        <v>3874</v>
      </c>
      <c r="X956" s="74" t="s">
        <v>1119</v>
      </c>
      <c r="Y956" s="74" t="s">
        <v>59</v>
      </c>
      <c r="Z956" s="74"/>
      <c r="AA956" s="74" t="s">
        <v>41</v>
      </c>
      <c r="AB956" s="316" t="s">
        <v>1082</v>
      </c>
      <c r="AC956" s="95" t="s">
        <v>3875</v>
      </c>
      <c r="AD956" s="860" t="s">
        <v>35</v>
      </c>
      <c r="AE956" s="867">
        <v>15000</v>
      </c>
    </row>
    <row r="957" spans="1:31" ht="72">
      <c r="A957" s="1364"/>
      <c r="B957" s="114"/>
      <c r="C957" s="4" t="s">
        <v>3876</v>
      </c>
      <c r="D957" s="9" t="s">
        <v>29</v>
      </c>
      <c r="E957" s="9"/>
      <c r="F957" s="9"/>
      <c r="G957" s="9"/>
      <c r="H957" s="5" t="s">
        <v>70</v>
      </c>
      <c r="I957" s="5" t="s">
        <v>34</v>
      </c>
      <c r="J957" s="16" t="s">
        <v>3877</v>
      </c>
      <c r="K957" s="16"/>
      <c r="L957" s="5" t="e">
        <f>IF(OR(S957=#REF!,S957=#REF!,S957=#REF!,S957=#REF!,S957=#REF!,S957=#REF!,S957=#REF!,S957=#REF!),12,IF(OR(S957=#REF!,S957=#REF!,S957=#REF!,S957=#REF!,S957=#REF!,S957=#REF!,S957=#REF!),3,IF(S957=#REF!,1,IF(S957=#REF!,18,IF(OR(S957=#REF!,S957=#REF!,S957=#REF!,S957=#REF!,S957=#REF!),14,"Invalid proposed procurement method")))))</f>
        <v>#REF!</v>
      </c>
      <c r="M957" s="193">
        <v>44209</v>
      </c>
      <c r="N957" s="193" t="str">
        <f t="shared" si="2"/>
        <v>Invalid procurement method or date entered</v>
      </c>
      <c r="O957" s="176">
        <v>44277</v>
      </c>
      <c r="P957" s="12">
        <v>60</v>
      </c>
      <c r="Q957" s="12">
        <v>60</v>
      </c>
      <c r="R957" s="18">
        <v>187135.8</v>
      </c>
      <c r="S957" s="5" t="s">
        <v>109</v>
      </c>
      <c r="T957" s="49" t="s">
        <v>36</v>
      </c>
      <c r="U957" s="45" t="s">
        <v>37</v>
      </c>
      <c r="V957" s="45"/>
      <c r="W957" s="43" t="s">
        <v>301</v>
      </c>
      <c r="X957" s="74" t="s">
        <v>1091</v>
      </c>
      <c r="Y957" s="74" t="s">
        <v>457</v>
      </c>
      <c r="Z957" s="74"/>
      <c r="AA957" s="74" t="s">
        <v>41</v>
      </c>
      <c r="AB957" s="316" t="s">
        <v>1250</v>
      </c>
      <c r="AC957" s="95" t="s">
        <v>3878</v>
      </c>
      <c r="AD957" s="74" t="s">
        <v>141</v>
      </c>
      <c r="AE957" s="306"/>
    </row>
    <row r="958" spans="1:31" ht="15.6">
      <c r="A958" s="1061">
        <v>44974</v>
      </c>
      <c r="B958" s="1066" t="s">
        <v>210</v>
      </c>
      <c r="C958" s="1072" t="s">
        <v>3879</v>
      </c>
      <c r="D958" s="1072" t="s">
        <v>1034</v>
      </c>
      <c r="E958" s="1066" t="s">
        <v>210</v>
      </c>
      <c r="F958" s="1066" t="s">
        <v>190</v>
      </c>
      <c r="G958" s="1066" t="s">
        <v>190</v>
      </c>
      <c r="H958" s="1066" t="s">
        <v>190</v>
      </c>
      <c r="I958" s="1066" t="s">
        <v>190</v>
      </c>
      <c r="J958" s="1095" t="s">
        <v>1075</v>
      </c>
      <c r="K958" s="1072" t="s">
        <v>1076</v>
      </c>
      <c r="L958" s="1066" t="s">
        <v>190</v>
      </c>
      <c r="M958" s="1066" t="s">
        <v>190</v>
      </c>
      <c r="N958" s="1066" t="s">
        <v>190</v>
      </c>
      <c r="O958" s="1142">
        <v>44277</v>
      </c>
      <c r="P958" s="1142">
        <v>45412</v>
      </c>
      <c r="Q958" s="1142">
        <v>46142</v>
      </c>
      <c r="R958" s="1176">
        <v>81272</v>
      </c>
      <c r="S958" s="1072" t="s">
        <v>158</v>
      </c>
      <c r="T958" s="1066" t="s">
        <v>190</v>
      </c>
      <c r="U958" s="1066" t="s">
        <v>190</v>
      </c>
      <c r="V958" s="1066"/>
      <c r="W958" s="1072" t="s">
        <v>1036</v>
      </c>
      <c r="X958" s="1116" t="s">
        <v>1346</v>
      </c>
      <c r="Y958" s="1116" t="s">
        <v>1266</v>
      </c>
      <c r="Z958" s="1068" t="s">
        <v>190</v>
      </c>
      <c r="AA958" s="1068" t="s">
        <v>190</v>
      </c>
      <c r="AB958" s="1068" t="s">
        <v>190</v>
      </c>
      <c r="AC958" s="694" t="s">
        <v>3880</v>
      </c>
      <c r="AD958" s="1068" t="s">
        <v>190</v>
      </c>
      <c r="AE958" s="1193">
        <v>81272</v>
      </c>
    </row>
    <row r="959" spans="1:31" ht="66">
      <c r="A959" s="852"/>
      <c r="B959" s="520" t="s">
        <v>48</v>
      </c>
      <c r="C959" s="465" t="s">
        <v>2236</v>
      </c>
      <c r="D959" s="466" t="s">
        <v>60</v>
      </c>
      <c r="E959" s="466"/>
      <c r="F959" s="466"/>
      <c r="G959" s="466"/>
      <c r="H959" s="466" t="s">
        <v>127</v>
      </c>
      <c r="I959" s="474" t="s">
        <v>34</v>
      </c>
      <c r="J959" s="1024" t="s">
        <v>2237</v>
      </c>
      <c r="K959" s="467"/>
      <c r="L959" s="467"/>
      <c r="M959" s="466">
        <v>3</v>
      </c>
      <c r="N959" s="469" t="str">
        <f>IF(O959="tbc","",(IFERROR(EDATE(#REF!,-3),"Invalid procurement method or date entered")))</f>
        <v>Invalid procurement method or date entered</v>
      </c>
      <c r="O959" s="470">
        <v>44284</v>
      </c>
      <c r="P959" s="474">
        <v>8</v>
      </c>
      <c r="Q959" s="474">
        <v>8</v>
      </c>
      <c r="R959" s="483">
        <v>1050000</v>
      </c>
      <c r="S959" s="470" t="s">
        <v>129</v>
      </c>
      <c r="T959" s="470" t="s">
        <v>144</v>
      </c>
      <c r="U959" s="470" t="s">
        <v>2006</v>
      </c>
      <c r="V959" s="470"/>
      <c r="W959" s="474" t="s">
        <v>2238</v>
      </c>
    </row>
    <row r="960" spans="1:31" ht="79.2">
      <c r="A960" s="852"/>
      <c r="B960" s="520" t="s">
        <v>48</v>
      </c>
      <c r="C960" s="465" t="s">
        <v>2279</v>
      </c>
      <c r="D960" s="466" t="s">
        <v>82</v>
      </c>
      <c r="E960" s="466"/>
      <c r="F960" s="466"/>
      <c r="G960" s="466"/>
      <c r="H960" s="466" t="s">
        <v>49</v>
      </c>
      <c r="I960" s="474" t="s">
        <v>34</v>
      </c>
      <c r="J960" s="1024" t="s">
        <v>2280</v>
      </c>
      <c r="K960" s="467"/>
      <c r="L960" s="467"/>
      <c r="M960" s="466">
        <v>12</v>
      </c>
      <c r="N960" s="469" t="str">
        <f>IF(O960="tbc","",(IFERROR(EDATE(#REF!,-3),"Invalid procurement method or date entered")))</f>
        <v>Invalid procurement method or date entered</v>
      </c>
      <c r="O960" s="470">
        <v>44284</v>
      </c>
      <c r="P960" s="471">
        <v>5</v>
      </c>
      <c r="Q960" s="471">
        <v>5</v>
      </c>
      <c r="R960" s="483">
        <v>552000</v>
      </c>
      <c r="S960" s="470" t="s">
        <v>173</v>
      </c>
      <c r="T960" s="470" t="s">
        <v>125</v>
      </c>
      <c r="U960" s="470" t="s">
        <v>125</v>
      </c>
      <c r="V960" s="470"/>
      <c r="W960" s="474" t="s">
        <v>2281</v>
      </c>
    </row>
    <row r="961" spans="1:31" ht="52.8">
      <c r="A961" s="852"/>
      <c r="B961" s="520" t="s">
        <v>48</v>
      </c>
      <c r="C961" s="465" t="s">
        <v>2380</v>
      </c>
      <c r="D961" s="466" t="s">
        <v>82</v>
      </c>
      <c r="E961" s="466"/>
      <c r="F961" s="466"/>
      <c r="G961" s="466"/>
      <c r="H961" s="466" t="s">
        <v>49</v>
      </c>
      <c r="I961" s="474" t="s">
        <v>34</v>
      </c>
      <c r="J961" s="549" t="s">
        <v>2381</v>
      </c>
      <c r="K961" s="484"/>
      <c r="L961" s="466">
        <v>12</v>
      </c>
      <c r="M961" s="469">
        <f>IF(O961="tbc","",(IFERROR(EDATE($N961,-3),"Invalid procurement method or date entered")))</f>
        <v>43828</v>
      </c>
      <c r="N961" s="469">
        <f>IF(O961="tbc","",(IFERROR(EDATE(O961,-L961),"Invalid procurement method or date entered")))</f>
        <v>43919</v>
      </c>
      <c r="O961" s="470">
        <v>44284</v>
      </c>
      <c r="P961" s="471">
        <v>4</v>
      </c>
      <c r="Q961" s="471">
        <v>4</v>
      </c>
      <c r="R961" s="483">
        <v>429000</v>
      </c>
      <c r="S961" s="470" t="s">
        <v>173</v>
      </c>
      <c r="T961" s="470" t="s">
        <v>144</v>
      </c>
      <c r="U961" s="470" t="s">
        <v>125</v>
      </c>
      <c r="V961" s="470"/>
      <c r="W961" s="513" t="s">
        <v>1299</v>
      </c>
    </row>
    <row r="962" spans="1:31" ht="72">
      <c r="A962" s="888"/>
      <c r="B962" s="305"/>
      <c r="C962" s="4" t="s">
        <v>348</v>
      </c>
      <c r="D962" s="9" t="s">
        <v>29</v>
      </c>
      <c r="E962" s="9"/>
      <c r="F962" s="9"/>
      <c r="G962" s="9"/>
      <c r="H962" s="5" t="s">
        <v>349</v>
      </c>
      <c r="I962" s="5" t="s">
        <v>34</v>
      </c>
      <c r="J962" s="16" t="s">
        <v>350</v>
      </c>
      <c r="K962" s="16"/>
      <c r="L962" s="5" t="e">
        <f>IF(OR(S962=#REF!,S962=#REF!,S962=#REF!,S962=#REF!,S962=#REF!,S962=#REF!,S962=#REF!,S962=#REF!),12,IF(OR(S962=#REF!,S962=#REF!,S962=#REF!,S962=#REF!,S962=#REF!,S962=#REF!,S962=#REF!),3,IF(S962=#REF!,1,IF(S962=#REF!,18,IF(OR(S962=#REF!,S962=#REF!,S962=#REF!,S962=#REF!,S962=#REF!),14,"Invalid proposed procurement method")))))</f>
        <v>#REF!</v>
      </c>
      <c r="M962" s="193" t="str">
        <f>IFERROR(EDATE($N962,-3),"Invalid procurement method or date entered")</f>
        <v>Invalid procurement method or date entered</v>
      </c>
      <c r="N962" s="193" t="str">
        <f>IFERROR(EDATE(O962,-L962),"Invalid procurement method or date entered")</f>
        <v>Invalid procurement method or date entered</v>
      </c>
      <c r="O962" s="176">
        <v>44286</v>
      </c>
      <c r="P962" s="12">
        <v>60</v>
      </c>
      <c r="Q962" s="13" t="s">
        <v>358</v>
      </c>
      <c r="R962" s="18" t="s">
        <v>3881</v>
      </c>
      <c r="S962" s="5" t="s">
        <v>109</v>
      </c>
      <c r="T962" s="49" t="s">
        <v>36</v>
      </c>
      <c r="U962" s="45" t="s">
        <v>37</v>
      </c>
      <c r="V962" s="45"/>
      <c r="W962" s="5" t="s">
        <v>354</v>
      </c>
      <c r="X962" s="449" t="s">
        <v>1091</v>
      </c>
      <c r="Y962" s="74" t="s">
        <v>457</v>
      </c>
      <c r="Z962" s="74"/>
      <c r="AA962" s="74" t="s">
        <v>41</v>
      </c>
      <c r="AB962" s="316" t="s">
        <v>1250</v>
      </c>
      <c r="AC962" s="1467" t="s">
        <v>1042</v>
      </c>
      <c r="AD962" s="74" t="s">
        <v>96</v>
      </c>
      <c r="AE962" s="306">
        <v>20471</v>
      </c>
    </row>
    <row r="963" spans="1:31" ht="72">
      <c r="A963" s="888"/>
      <c r="B963" s="305"/>
      <c r="C963" s="4" t="s">
        <v>3882</v>
      </c>
      <c r="D963" s="9" t="s">
        <v>29</v>
      </c>
      <c r="E963" s="9"/>
      <c r="F963" s="9"/>
      <c r="G963" s="9"/>
      <c r="H963" s="5" t="s">
        <v>171</v>
      </c>
      <c r="I963" s="5" t="s">
        <v>34</v>
      </c>
      <c r="J963" s="16" t="s">
        <v>3883</v>
      </c>
      <c r="K963" s="8"/>
      <c r="L963" s="5" t="e">
        <f>IF(OR(S963=#REF!,S963=#REF!,S963=#REF!,S963=#REF!,S963=#REF!,S963=#REF!,S963=#REF!,S963=#REF!),12,IF(OR(S963=#REF!,S963=#REF!,S963=#REF!,S963=#REF!,S963=#REF!,S963=#REF!,S963=#REF!),3,IF(S963=#REF!,1,IF(S963=#REF!,18,IF(OR(S963=#REF!,S963=#REF!,S963=#REF!,S963=#REF!,S963=#REF!),14,"Invalid proposed procurement method")))))</f>
        <v>#REF!</v>
      </c>
      <c r="M963" s="193" t="str">
        <f>IFERROR(EDATE($N963,-3),"Invalid procurement method or date entered")</f>
        <v>Invalid procurement method or date entered</v>
      </c>
      <c r="N963" s="193" t="str">
        <f>IFERROR(EDATE(O963,-L963),"Invalid procurement method or date entered")</f>
        <v>Invalid procurement method or date entered</v>
      </c>
      <c r="O963" s="176">
        <v>44286</v>
      </c>
      <c r="P963" s="5">
        <v>1</v>
      </c>
      <c r="Q963" s="7" t="s">
        <v>1340</v>
      </c>
      <c r="R963" s="18">
        <v>7675</v>
      </c>
      <c r="S963" s="5" t="s">
        <v>109</v>
      </c>
      <c r="T963" s="49" t="s">
        <v>54</v>
      </c>
      <c r="U963" s="45" t="s">
        <v>43</v>
      </c>
      <c r="V963" s="45"/>
      <c r="W963" s="5" t="s">
        <v>3884</v>
      </c>
      <c r="X963" s="819" t="s">
        <v>90</v>
      </c>
      <c r="Y963" s="74" t="s">
        <v>39</v>
      </c>
      <c r="Z963" s="74"/>
      <c r="AA963" s="74" t="s">
        <v>41</v>
      </c>
      <c r="AB963" s="316" t="s">
        <v>1250</v>
      </c>
      <c r="AC963" s="95" t="s">
        <v>3885</v>
      </c>
      <c r="AD963" s="70" t="s">
        <v>171</v>
      </c>
      <c r="AE963" s="204">
        <v>7675</v>
      </c>
    </row>
    <row r="964" spans="1:31" ht="100.8">
      <c r="A964" s="888"/>
      <c r="B964" s="323" t="s">
        <v>145</v>
      </c>
      <c r="C964" s="323"/>
      <c r="D964" s="194" t="s">
        <v>3886</v>
      </c>
      <c r="E964" s="194"/>
      <c r="F964" s="194"/>
      <c r="G964" s="194"/>
      <c r="H964" s="345" t="s">
        <v>148</v>
      </c>
      <c r="I964" s="345" t="s">
        <v>64</v>
      </c>
      <c r="J964" s="386" t="s">
        <v>3887</v>
      </c>
      <c r="K964" s="386"/>
      <c r="L964" s="78">
        <v>12</v>
      </c>
      <c r="M964" s="394">
        <f>IFERROR(EDATE(N964,-3),"Invalid procurement method or date entered")</f>
        <v>43830</v>
      </c>
      <c r="N964" s="346">
        <f>IFERROR(EDATE(O964,-L964),"Invalid procurement method or date entered")</f>
        <v>43921</v>
      </c>
      <c r="O964" s="140">
        <v>44286</v>
      </c>
      <c r="P964" s="66">
        <v>120</v>
      </c>
      <c r="Q964" s="66">
        <v>48</v>
      </c>
      <c r="R964" s="352" t="s">
        <v>35</v>
      </c>
      <c r="S964" s="66" t="s">
        <v>66</v>
      </c>
      <c r="T964" s="326" t="s">
        <v>54</v>
      </c>
      <c r="U964" s="326" t="s">
        <v>3888</v>
      </c>
      <c r="V964" s="326"/>
      <c r="W964" s="386" t="s">
        <v>644</v>
      </c>
      <c r="X964" s="387" t="s">
        <v>428</v>
      </c>
      <c r="Y964" s="95" t="s">
        <v>457</v>
      </c>
      <c r="Z964" s="95"/>
      <c r="AA964" s="387" t="s">
        <v>40</v>
      </c>
      <c r="AB964" s="321"/>
      <c r="AC964" s="390">
        <v>44321</v>
      </c>
      <c r="AD964" s="390"/>
      <c r="AE964" s="390"/>
    </row>
    <row r="965" spans="1:31" ht="52.8">
      <c r="A965" s="852"/>
      <c r="B965" s="520" t="s">
        <v>48</v>
      </c>
      <c r="C965" s="466" t="s">
        <v>2307</v>
      </c>
      <c r="D965" s="466" t="s">
        <v>82</v>
      </c>
      <c r="E965" s="466"/>
      <c r="F965" s="466"/>
      <c r="G965" s="466"/>
      <c r="H965" s="466" t="s">
        <v>49</v>
      </c>
      <c r="I965" s="474" t="s">
        <v>34</v>
      </c>
      <c r="J965" s="549" t="s">
        <v>2308</v>
      </c>
      <c r="K965" s="484"/>
      <c r="L965" s="466">
        <v>12</v>
      </c>
      <c r="M965" s="469">
        <f>IF(O965="tbc","",(IFERROR(EDATE($N965,-3),"Invalid procurement method or date entered")))</f>
        <v>43830</v>
      </c>
      <c r="N965" s="469">
        <f>IF(O965="tbc","",(IFERROR(EDATE(O965,-L965),"Invalid procurement method or date entered")))</f>
        <v>43921</v>
      </c>
      <c r="O965" s="470">
        <v>44286</v>
      </c>
      <c r="P965" s="587">
        <v>4</v>
      </c>
      <c r="Q965" s="485" t="s">
        <v>125</v>
      </c>
      <c r="R965" s="483">
        <v>420000</v>
      </c>
      <c r="S965" s="470" t="s">
        <v>173</v>
      </c>
      <c r="T965" s="470" t="s">
        <v>36</v>
      </c>
      <c r="U965" s="466" t="s">
        <v>125</v>
      </c>
      <c r="V965" s="466"/>
      <c r="W965" s="513"/>
    </row>
    <row r="966" spans="1:31" ht="129.6">
      <c r="A966" s="852"/>
      <c r="B966" s="305"/>
      <c r="C966" s="8" t="s">
        <v>3889</v>
      </c>
      <c r="D966" s="9" t="s">
        <v>29</v>
      </c>
      <c r="E966" s="9"/>
      <c r="F966" s="9"/>
      <c r="G966" s="9"/>
      <c r="H966" s="1335" t="s">
        <v>70</v>
      </c>
      <c r="I966" s="1330" t="s">
        <v>34</v>
      </c>
      <c r="J966" s="16" t="s">
        <v>3890</v>
      </c>
      <c r="K966" s="8"/>
      <c r="L966" s="5" t="e">
        <f>IF(OR(S966=#REF!,S966=#REF!,S966=#REF!,S966=#REF!,S966=#REF!,S966=#REF!,S966=#REF!,S966=#REF!),12,IF(OR(S966=#REF!,S966=#REF!,S966=#REF!,S966=#REF!,S966=#REF!,S966=#REF!,S966=#REF!),3,IF(S966=#REF!,1,IF(S966=#REF!,18,IF(OR(S966=#REF!,S966=#REF!,S966=#REF!,S966=#REF!,S966=#REF!),14,"Invalid proposed procurement method")))))</f>
        <v>#REF!</v>
      </c>
      <c r="M966" s="193" t="str">
        <f t="shared" ref="M966:M977" si="3">IFERROR(EDATE($N966,-3),"Invalid procurement method or date entered")</f>
        <v>Invalid procurement method or date entered</v>
      </c>
      <c r="N966" s="193" t="str">
        <f t="shared" ref="N966:N977" si="4">IFERROR(EDATE(O966,-L966),"Invalid procurement method or date entered")</f>
        <v>Invalid procurement method or date entered</v>
      </c>
      <c r="O966" s="14">
        <v>44287</v>
      </c>
      <c r="P966" s="14" t="s">
        <v>37</v>
      </c>
      <c r="Q966" s="14" t="s">
        <v>37</v>
      </c>
      <c r="R966" s="79">
        <v>350000</v>
      </c>
      <c r="S966" s="14" t="s">
        <v>2529</v>
      </c>
      <c r="T966" s="1464" t="s">
        <v>41</v>
      </c>
      <c r="U966" s="1464">
        <v>44279</v>
      </c>
      <c r="V966" s="1464"/>
      <c r="W966" s="1335" t="s">
        <v>3891</v>
      </c>
      <c r="X966" s="74" t="s">
        <v>1091</v>
      </c>
      <c r="Y966" s="74" t="s">
        <v>457</v>
      </c>
      <c r="Z966" s="74" t="s">
        <v>80</v>
      </c>
      <c r="AA966" s="1356" t="s">
        <v>54</v>
      </c>
      <c r="AB966" s="316" t="s">
        <v>1269</v>
      </c>
      <c r="AC966" s="847" t="s">
        <v>3892</v>
      </c>
      <c r="AD966" s="74" t="s">
        <v>96</v>
      </c>
      <c r="AE966" s="204"/>
    </row>
    <row r="967" spans="1:31" ht="72">
      <c r="A967" s="889"/>
      <c r="B967" s="4"/>
      <c r="C967" s="4" t="s">
        <v>35</v>
      </c>
      <c r="D967" s="5" t="s">
        <v>29</v>
      </c>
      <c r="E967" s="5"/>
      <c r="F967" s="5"/>
      <c r="G967" s="5"/>
      <c r="H967" s="5" t="s">
        <v>336</v>
      </c>
      <c r="I967" s="12" t="s">
        <v>64</v>
      </c>
      <c r="J967" s="16" t="s">
        <v>3501</v>
      </c>
      <c r="K967" s="16"/>
      <c r="L967" s="5" t="e">
        <f>IF(OR(S967=#REF!,S967=#REF!,S967=#REF!,S967=#REF!,S967=#REF!,S967=#REF!,S967=#REF!,S967=#REF!),12,IF(OR(S967=#REF!,S967=#REF!,S967=#REF!,S967=#REF!,S967=#REF!,S967=#REF!,S967=#REF!),3,IF(S967=#REF!,1,IF(S967=#REF!,18,IF(OR(S967=#REF!,S967=#REF!,S967=#REF!,S967=#REF!,S967=#REF!),14,"Invalid proposed procurement method")))))</f>
        <v>#REF!</v>
      </c>
      <c r="M967" s="193" t="str">
        <f t="shared" si="3"/>
        <v>Invalid procurement method or date entered</v>
      </c>
      <c r="N967" s="193" t="str">
        <f t="shared" si="4"/>
        <v>Invalid procurement method or date entered</v>
      </c>
      <c r="O967" s="176">
        <v>44287</v>
      </c>
      <c r="P967" s="12">
        <v>24</v>
      </c>
      <c r="Q967" s="12" t="s">
        <v>1297</v>
      </c>
      <c r="R967" s="56">
        <v>160000</v>
      </c>
      <c r="S967" s="176" t="s">
        <v>66</v>
      </c>
      <c r="T967" s="50" t="s">
        <v>36</v>
      </c>
      <c r="U967" s="50" t="s">
        <v>37</v>
      </c>
      <c r="V967" s="50"/>
      <c r="W967" s="12" t="s">
        <v>2584</v>
      </c>
      <c r="X967" s="74" t="s">
        <v>1088</v>
      </c>
      <c r="Y967" s="74" t="s">
        <v>457</v>
      </c>
      <c r="Z967" s="74"/>
      <c r="AA967" s="74" t="s">
        <v>41</v>
      </c>
      <c r="AB967" s="316" t="s">
        <v>1082</v>
      </c>
      <c r="AC967" s="95" t="s">
        <v>3893</v>
      </c>
      <c r="AD967" s="70" t="s">
        <v>339</v>
      </c>
      <c r="AE967" s="204"/>
    </row>
    <row r="968" spans="1:31" ht="172.8">
      <c r="A968" s="889"/>
      <c r="B968" s="114"/>
      <c r="C968" s="1365" t="s">
        <v>1254</v>
      </c>
      <c r="D968" s="9" t="s">
        <v>29</v>
      </c>
      <c r="E968" s="9"/>
      <c r="F968" s="9"/>
      <c r="G968" s="9"/>
      <c r="H968" s="5" t="s">
        <v>70</v>
      </c>
      <c r="I968" s="1330" t="s">
        <v>64</v>
      </c>
      <c r="J968" s="1339" t="s">
        <v>235</v>
      </c>
      <c r="K968" s="1327"/>
      <c r="L968" s="5" t="e">
        <f>IF(OR(S968=#REF!,S968=#REF!,S968=#REF!,S968=#REF!,S968=#REF!,S968=#REF!,S968=#REF!,S968=#REF!),12,IF(OR(S968=#REF!,S968=#REF!,S968=#REF!,S968=#REF!,S968=#REF!,S968=#REF!,S968=#REF!),3,IF(S968=#REF!,1,IF(S968=#REF!,18,IF(OR(S968=#REF!,S968=#REF!,S968=#REF!,S968=#REF!,S968=#REF!),14,"Invalid proposed procurement method")))))</f>
        <v>#REF!</v>
      </c>
      <c r="M968" s="193" t="str">
        <f t="shared" si="3"/>
        <v>Invalid procurement method or date entered</v>
      </c>
      <c r="N968" s="193" t="str">
        <f t="shared" si="4"/>
        <v>Invalid procurement method or date entered</v>
      </c>
      <c r="O968" s="1329">
        <v>44287</v>
      </c>
      <c r="P968" s="1330">
        <v>48</v>
      </c>
      <c r="Q968" s="1335" t="s">
        <v>3894</v>
      </c>
      <c r="R968" s="18">
        <v>200000</v>
      </c>
      <c r="S968" s="5" t="s">
        <v>66</v>
      </c>
      <c r="T968" s="48" t="s">
        <v>36</v>
      </c>
      <c r="U968" s="48" t="s">
        <v>37</v>
      </c>
      <c r="V968" s="48"/>
      <c r="W968" s="1330" t="s">
        <v>1255</v>
      </c>
      <c r="X968" s="74" t="s">
        <v>1088</v>
      </c>
      <c r="Y968" s="74" t="s">
        <v>457</v>
      </c>
      <c r="Z968" s="74"/>
      <c r="AA968" s="1356" t="s">
        <v>41</v>
      </c>
      <c r="AB968" s="316" t="s">
        <v>1250</v>
      </c>
      <c r="AC968" s="847" t="s">
        <v>3895</v>
      </c>
      <c r="AD968" s="74" t="s">
        <v>3487</v>
      </c>
      <c r="AE968" s="818" t="s">
        <v>3896</v>
      </c>
    </row>
    <row r="969" spans="1:31" ht="144">
      <c r="A969" s="889"/>
      <c r="B969" s="114"/>
      <c r="C969" s="4" t="s">
        <v>37</v>
      </c>
      <c r="D969" s="9" t="s">
        <v>29</v>
      </c>
      <c r="E969" s="9"/>
      <c r="F969" s="9"/>
      <c r="G969" s="9"/>
      <c r="H969" s="5" t="s">
        <v>70</v>
      </c>
      <c r="I969" s="5" t="s">
        <v>34</v>
      </c>
      <c r="J969" s="16" t="s">
        <v>3897</v>
      </c>
      <c r="K969" s="16"/>
      <c r="L969" s="5" t="e">
        <f>IF(OR(S969=#REF!,S969=#REF!,S969=#REF!,S969=#REF!,S969=#REF!,S969=#REF!,S969=#REF!,S969=#REF!),12,IF(OR(S969=#REF!,S969=#REF!,S969=#REF!,S969=#REF!,S969=#REF!,S969=#REF!,S969=#REF!),3,IF(S969=#REF!,1,IF(S969=#REF!,18,IF(OR(S969=#REF!,S969=#REF!,S969=#REF!,S969=#REF!,S969=#REF!),14,"Invalid proposed procurement method")))))</f>
        <v>#REF!</v>
      </c>
      <c r="M969" s="193" t="str">
        <f t="shared" si="3"/>
        <v>Invalid procurement method or date entered</v>
      </c>
      <c r="N969" s="193" t="str">
        <f t="shared" si="4"/>
        <v>Invalid procurement method or date entered</v>
      </c>
      <c r="O969" s="176">
        <v>44287</v>
      </c>
      <c r="P969" s="12">
        <v>60</v>
      </c>
      <c r="Q969" s="7" t="s">
        <v>143</v>
      </c>
      <c r="R969" s="18">
        <v>126755.93</v>
      </c>
      <c r="S969" s="5" t="s">
        <v>109</v>
      </c>
      <c r="T969" s="9" t="s">
        <v>54</v>
      </c>
      <c r="U969" s="15" t="s">
        <v>37</v>
      </c>
      <c r="V969" s="15"/>
      <c r="W969" s="5" t="s">
        <v>113</v>
      </c>
      <c r="X969" s="74" t="s">
        <v>1091</v>
      </c>
      <c r="Y969" s="74" t="s">
        <v>457</v>
      </c>
      <c r="Z969" s="74"/>
      <c r="AA969" s="74" t="s">
        <v>41</v>
      </c>
      <c r="AB969" s="316" t="s">
        <v>1250</v>
      </c>
      <c r="AC969" s="95" t="s">
        <v>377</v>
      </c>
      <c r="AD969" s="74" t="s">
        <v>114</v>
      </c>
      <c r="AE969" s="306"/>
    </row>
    <row r="970" spans="1:31" ht="72">
      <c r="A970" s="889"/>
      <c r="B970" s="114"/>
      <c r="C970" s="4" t="s">
        <v>35</v>
      </c>
      <c r="D970" s="9" t="s">
        <v>29</v>
      </c>
      <c r="E970" s="9"/>
      <c r="F970" s="9"/>
      <c r="G970" s="9"/>
      <c r="H970" s="5" t="s">
        <v>70</v>
      </c>
      <c r="I970" s="12" t="s">
        <v>64</v>
      </c>
      <c r="J970" s="16" t="s">
        <v>438</v>
      </c>
      <c r="K970" s="16"/>
      <c r="L970" s="5" t="e">
        <f>IF(OR(S970=#REF!,S970=#REF!,S970=#REF!,S970=#REF!,S970=#REF!,S970=#REF!,S970=#REF!,S970=#REF!),12,IF(OR(S970=#REF!,S970=#REF!,S970=#REF!,S970=#REF!,S970=#REF!,S970=#REF!,S970=#REF!),3,IF(S970=#REF!,1,IF(S970=#REF!,18,IF(OR(S970=#REF!,S970=#REF!,S970=#REF!,S970=#REF!,S970=#REF!),14,"Invalid proposed procurement method")))))</f>
        <v>#REF!</v>
      </c>
      <c r="M970" s="193" t="str">
        <f t="shared" si="3"/>
        <v>Invalid procurement method or date entered</v>
      </c>
      <c r="N970" s="193" t="str">
        <f t="shared" si="4"/>
        <v>Invalid procurement method or date entered</v>
      </c>
      <c r="O970" s="176">
        <v>44287</v>
      </c>
      <c r="P970" s="12">
        <v>48</v>
      </c>
      <c r="Q970" s="13" t="s">
        <v>3898</v>
      </c>
      <c r="R970" s="18">
        <v>147961</v>
      </c>
      <c r="S970" s="5" t="s">
        <v>66</v>
      </c>
      <c r="T970" s="49" t="s">
        <v>36</v>
      </c>
      <c r="U970" s="45" t="s">
        <v>37</v>
      </c>
      <c r="V970" s="45"/>
      <c r="W970" s="12" t="s">
        <v>3899</v>
      </c>
      <c r="X970" s="74" t="s">
        <v>1088</v>
      </c>
      <c r="Y970" s="74" t="s">
        <v>457</v>
      </c>
      <c r="Z970" s="74" t="s">
        <v>40</v>
      </c>
      <c r="AA970" s="772" t="s">
        <v>41</v>
      </c>
      <c r="AB970" s="316" t="s">
        <v>1269</v>
      </c>
      <c r="AC970" s="95"/>
      <c r="AD970" s="74" t="s">
        <v>74</v>
      </c>
      <c r="AE970" s="204">
        <v>40000</v>
      </c>
    </row>
    <row r="971" spans="1:31" ht="316.8">
      <c r="A971" s="889"/>
      <c r="B971" s="305"/>
      <c r="C971" s="1362" t="s">
        <v>1122</v>
      </c>
      <c r="D971" s="9" t="s">
        <v>29</v>
      </c>
      <c r="E971" s="9"/>
      <c r="F971" s="9"/>
      <c r="G971" s="9"/>
      <c r="H971" s="5" t="s">
        <v>70</v>
      </c>
      <c r="I971" s="12" t="s">
        <v>64</v>
      </c>
      <c r="J971" s="16" t="s">
        <v>3900</v>
      </c>
      <c r="K971" s="8"/>
      <c r="L971" s="5" t="e">
        <f>IF(OR(S971=#REF!,S971=#REF!,S971=#REF!,S971=#REF!,S971=#REF!,S971=#REF!,S971=#REF!,S971=#REF!),12,IF(OR(S971=#REF!,S971=#REF!,S971=#REF!,S971=#REF!,S971=#REF!,S971=#REF!,S971=#REF!),3,IF(S971=#REF!,1,IF(S971=#REF!,18,IF(OR(S971=#REF!,S971=#REF!,S971=#REF!,S971=#REF!,S971=#REF!),14,"Invalid proposed procurement method")))))</f>
        <v>#REF!</v>
      </c>
      <c r="M971" s="193" t="str">
        <f t="shared" si="3"/>
        <v>Invalid procurement method or date entered</v>
      </c>
      <c r="N971" s="193" t="str">
        <f t="shared" si="4"/>
        <v>Invalid procurement method or date entered</v>
      </c>
      <c r="O971" s="193">
        <v>44287</v>
      </c>
      <c r="P971" s="5">
        <v>72</v>
      </c>
      <c r="Q971" s="5" t="s">
        <v>1273</v>
      </c>
      <c r="R971" s="18">
        <v>3000000</v>
      </c>
      <c r="S971" s="5" t="s">
        <v>66</v>
      </c>
      <c r="T971" s="49" t="s">
        <v>41</v>
      </c>
      <c r="U971" s="45" t="s">
        <v>35</v>
      </c>
      <c r="V971" s="45"/>
      <c r="W971" s="5" t="s">
        <v>117</v>
      </c>
      <c r="X971" s="74" t="s">
        <v>1088</v>
      </c>
      <c r="Y971" s="74" t="s">
        <v>457</v>
      </c>
      <c r="Z971" s="74" t="s">
        <v>80</v>
      </c>
      <c r="AA971" s="74" t="s">
        <v>41</v>
      </c>
      <c r="AB971" s="316" t="s">
        <v>1269</v>
      </c>
      <c r="AC971" s="846" t="s">
        <v>3901</v>
      </c>
      <c r="AD971" s="74" t="s">
        <v>118</v>
      </c>
      <c r="AE971" s="1368"/>
    </row>
    <row r="972" spans="1:31" ht="115.2">
      <c r="A972" s="888"/>
      <c r="B972" s="4"/>
      <c r="C972" s="4" t="s">
        <v>35</v>
      </c>
      <c r="D972" s="5" t="s">
        <v>29</v>
      </c>
      <c r="E972" s="5"/>
      <c r="F972" s="5"/>
      <c r="G972" s="5"/>
      <c r="H972" s="5" t="s">
        <v>70</v>
      </c>
      <c r="I972" s="5" t="s">
        <v>34</v>
      </c>
      <c r="J972" s="16" t="s">
        <v>3902</v>
      </c>
      <c r="K972" s="8"/>
      <c r="L972" s="5" t="e">
        <f>IF(OR(S972=#REF!,S972=#REF!,S972=#REF!,S972=#REF!,S972=#REF!,S972=#REF!,S972=#REF!,S972=#REF!),12,IF(OR(S972=#REF!,S972=#REF!,S972=#REF!,S972=#REF!,S972=#REF!,S972=#REF!,S972=#REF!),3,IF(S972=#REF!,1,IF(S972=#REF!,18,IF(OR(S972=#REF!,S972=#REF!,S972=#REF!,S972=#REF!,S972=#REF!),14,"Invalid proposed procurement method")))))</f>
        <v>#REF!</v>
      </c>
      <c r="M972" s="193" t="str">
        <f t="shared" si="3"/>
        <v>Invalid procurement method or date entered</v>
      </c>
      <c r="N972" s="193" t="str">
        <f t="shared" si="4"/>
        <v>Invalid procurement method or date entered</v>
      </c>
      <c r="O972" s="193">
        <v>44287</v>
      </c>
      <c r="P972" s="5" t="s">
        <v>35</v>
      </c>
      <c r="Q972" s="5" t="s">
        <v>35</v>
      </c>
      <c r="R972" s="39">
        <v>10000</v>
      </c>
      <c r="S972" s="5" t="s">
        <v>35</v>
      </c>
      <c r="T972" s="5" t="s">
        <v>54</v>
      </c>
      <c r="U972" s="5" t="s">
        <v>37</v>
      </c>
      <c r="V972" s="5"/>
      <c r="W972" s="5" t="s">
        <v>3903</v>
      </c>
      <c r="X972" s="74" t="s">
        <v>73</v>
      </c>
      <c r="Y972" s="74" t="s">
        <v>59</v>
      </c>
      <c r="Z972" s="74" t="s">
        <v>95</v>
      </c>
      <c r="AA972" s="70" t="s">
        <v>41</v>
      </c>
      <c r="AB972" s="316" t="s">
        <v>1269</v>
      </c>
      <c r="AC972" s="851" t="s">
        <v>3904</v>
      </c>
      <c r="AD972" s="74" t="s">
        <v>96</v>
      </c>
      <c r="AE972" s="864"/>
    </row>
    <row r="973" spans="1:31" ht="72">
      <c r="A973" s="852"/>
      <c r="B973" s="4"/>
      <c r="C973" s="1468" t="s">
        <v>1104</v>
      </c>
      <c r="D973" s="9" t="s">
        <v>29</v>
      </c>
      <c r="E973" s="9"/>
      <c r="F973" s="9"/>
      <c r="G973" s="9"/>
      <c r="H973" s="5" t="s">
        <v>45</v>
      </c>
      <c r="I973" s="5" t="s">
        <v>64</v>
      </c>
      <c r="J973" s="16" t="s">
        <v>3905</v>
      </c>
      <c r="K973" s="16"/>
      <c r="L973" s="5" t="e">
        <f>IF(OR(S973=#REF!,S973=#REF!,S973=#REF!,S973=#REF!,S973=#REF!,S973=#REF!,S973=#REF!,S973=#REF!),12,IF(OR(S973=#REF!,S973=#REF!,S973=#REF!,S973=#REF!,S973=#REF!,S973=#REF!,S973=#REF!),3,IF(S973=#REF!,1,IF(S973=#REF!,18,IF(OR(S973=#REF!,S973=#REF!,S973=#REF!,S973=#REF!,S973=#REF!),14,"Invalid proposed procurement method")))))</f>
        <v>#REF!</v>
      </c>
      <c r="M973" s="193" t="str">
        <f t="shared" si="3"/>
        <v>Invalid procurement method or date entered</v>
      </c>
      <c r="N973" s="193" t="str">
        <f t="shared" si="4"/>
        <v>Invalid procurement method or date entered</v>
      </c>
      <c r="O973" s="176">
        <v>44287</v>
      </c>
      <c r="P973" s="12">
        <v>48</v>
      </c>
      <c r="Q973" s="7" t="s">
        <v>1084</v>
      </c>
      <c r="R973" s="18">
        <v>9090426</v>
      </c>
      <c r="S973" s="5" t="s">
        <v>66</v>
      </c>
      <c r="T973" s="49" t="s">
        <v>41</v>
      </c>
      <c r="U973" s="203">
        <v>44088</v>
      </c>
      <c r="V973" s="203"/>
      <c r="W973" s="5" t="s">
        <v>2584</v>
      </c>
      <c r="X973" s="74" t="s">
        <v>68</v>
      </c>
      <c r="Y973" s="74" t="s">
        <v>457</v>
      </c>
      <c r="Z973" s="74" t="s">
        <v>40</v>
      </c>
      <c r="AA973" s="74" t="s">
        <v>41</v>
      </c>
      <c r="AB973" s="316" t="s">
        <v>1269</v>
      </c>
      <c r="AC973" s="95" t="s">
        <v>3906</v>
      </c>
      <c r="AD973" s="70" t="s">
        <v>45</v>
      </c>
      <c r="AE973" s="1469">
        <v>2272606</v>
      </c>
    </row>
    <row r="974" spans="1:31" ht="72">
      <c r="A974" s="887"/>
      <c r="B974" s="4"/>
      <c r="C974" s="1470" t="s">
        <v>1104</v>
      </c>
      <c r="D974" s="9" t="s">
        <v>29</v>
      </c>
      <c r="E974" s="9"/>
      <c r="F974" s="9"/>
      <c r="G974" s="9"/>
      <c r="H974" s="5" t="s">
        <v>45</v>
      </c>
      <c r="I974" s="5" t="s">
        <v>64</v>
      </c>
      <c r="J974" s="16" t="s">
        <v>3905</v>
      </c>
      <c r="K974" s="16"/>
      <c r="L974" s="5" t="e">
        <f>IF(OR(S974=#REF!,S974=#REF!,S974=#REF!,S974=#REF!,S974=#REF!,S974=#REF!,S974=#REF!,S974=#REF!),12,IF(OR(S974=#REF!,S974=#REF!,S974=#REF!,S974=#REF!,S974=#REF!,S974=#REF!,S974=#REF!),3,IF(S974=#REF!,1,IF(S974=#REF!,18,IF(OR(S974=#REF!,S974=#REF!,S974=#REF!,S974=#REF!,S974=#REF!),14,"Invalid proposed procurement method")))))</f>
        <v>#REF!</v>
      </c>
      <c r="M974" s="193" t="str">
        <f t="shared" si="3"/>
        <v>Invalid procurement method or date entered</v>
      </c>
      <c r="N974" s="193" t="str">
        <f t="shared" si="4"/>
        <v>Invalid procurement method or date entered</v>
      </c>
      <c r="O974" s="176">
        <v>44287</v>
      </c>
      <c r="P974" s="12">
        <v>48</v>
      </c>
      <c r="Q974" s="7" t="s">
        <v>1084</v>
      </c>
      <c r="R974" s="18">
        <v>9090426</v>
      </c>
      <c r="S974" s="5" t="s">
        <v>66</v>
      </c>
      <c r="T974" s="49" t="s">
        <v>41</v>
      </c>
      <c r="U974" s="203">
        <v>44088</v>
      </c>
      <c r="V974" s="203"/>
      <c r="W974" s="5" t="s">
        <v>2584</v>
      </c>
      <c r="X974" s="74" t="s">
        <v>68</v>
      </c>
      <c r="Y974" s="74" t="s">
        <v>457</v>
      </c>
      <c r="Z974" s="74" t="s">
        <v>40</v>
      </c>
      <c r="AA974" s="74" t="s">
        <v>41</v>
      </c>
      <c r="AB974" s="316" t="s">
        <v>1269</v>
      </c>
      <c r="AC974" s="95" t="s">
        <v>3906</v>
      </c>
      <c r="AD974" s="70" t="s">
        <v>45</v>
      </c>
      <c r="AE974" s="1469">
        <v>2272606</v>
      </c>
    </row>
    <row r="975" spans="1:31" ht="72">
      <c r="A975" s="852"/>
      <c r="B975" s="1351"/>
      <c r="C975" s="1362" t="s">
        <v>1331</v>
      </c>
      <c r="D975" s="1403" t="s">
        <v>29</v>
      </c>
      <c r="E975" s="1403"/>
      <c r="F975" s="1403"/>
      <c r="G975" s="1403"/>
      <c r="H975" s="1375" t="s">
        <v>70</v>
      </c>
      <c r="I975" s="1375" t="s">
        <v>34</v>
      </c>
      <c r="J975" s="1447" t="s">
        <v>973</v>
      </c>
      <c r="K975" s="1447"/>
      <c r="L975" s="5" t="e">
        <f>IF(OR(S975=#REF!,S975=#REF!,S975=#REF!,S975=#REF!,S975=#REF!,S975=#REF!,S975=#REF!,S975=#REF!),12,IF(OR(S975=#REF!,S975=#REF!,S975=#REF!,S975=#REF!,S975=#REF!,S975=#REF!,S975=#REF!),3,IF(S975=#REF!,1,IF(S975=#REF!,18,IF(OR(S975=#REF!,S975=#REF!,S975=#REF!,S975=#REF!,S975=#REF!),14,"Invalid proposed procurement method")))))</f>
        <v>#REF!</v>
      </c>
      <c r="M975" s="193" t="str">
        <f t="shared" si="3"/>
        <v>Invalid procurement method or date entered</v>
      </c>
      <c r="N975" s="193" t="str">
        <f t="shared" si="4"/>
        <v>Invalid procurement method or date entered</v>
      </c>
      <c r="O975" s="1429">
        <v>44287</v>
      </c>
      <c r="P975" s="1403">
        <v>36</v>
      </c>
      <c r="Q975" s="1375" t="s">
        <v>236</v>
      </c>
      <c r="R975" s="18">
        <v>180000</v>
      </c>
      <c r="S975" s="1375" t="s">
        <v>109</v>
      </c>
      <c r="T975" s="1375" t="s">
        <v>54</v>
      </c>
      <c r="U975" s="12" t="s">
        <v>37</v>
      </c>
      <c r="V975" s="12"/>
      <c r="W975" s="1403" t="s">
        <v>974</v>
      </c>
      <c r="X975" s="74" t="s">
        <v>1091</v>
      </c>
      <c r="Y975" s="1471" t="s">
        <v>39</v>
      </c>
      <c r="Z975" s="74" t="s">
        <v>95</v>
      </c>
      <c r="AA975" s="1446" t="s">
        <v>54</v>
      </c>
      <c r="AB975" s="1369" t="s">
        <v>1253</v>
      </c>
      <c r="AC975" s="1467" t="s">
        <v>3907</v>
      </c>
      <c r="AD975" s="74" t="s">
        <v>96</v>
      </c>
      <c r="AE975" s="864">
        <v>60000</v>
      </c>
    </row>
    <row r="976" spans="1:31" ht="72">
      <c r="A976" s="852"/>
      <c r="B976" s="4"/>
      <c r="C976" s="4" t="s">
        <v>3908</v>
      </c>
      <c r="D976" s="5" t="s">
        <v>29</v>
      </c>
      <c r="E976" s="5"/>
      <c r="F976" s="5"/>
      <c r="G976" s="5"/>
      <c r="H976" s="5" t="s">
        <v>70</v>
      </c>
      <c r="I976" s="5" t="s">
        <v>34</v>
      </c>
      <c r="J976" s="16" t="s">
        <v>3909</v>
      </c>
      <c r="K976" s="8"/>
      <c r="L976" s="5" t="e">
        <f>IF(OR(S976=#REF!,S976=#REF!,S976=#REF!,S976=#REF!,S976=#REF!,S976=#REF!,S976=#REF!,S976=#REF!),12,IF(OR(S976=#REF!,S976=#REF!,S976=#REF!,S976=#REF!,S976=#REF!,S976=#REF!,S976=#REF!),3,IF(S976=#REF!,1,IF(S976=#REF!,18,IF(OR(S976=#REF!,S976=#REF!,S976=#REF!,S976=#REF!,S976=#REF!),14,"Invalid proposed procurement method")))))</f>
        <v>#REF!</v>
      </c>
      <c r="M976" s="193" t="str">
        <f t="shared" si="3"/>
        <v>Invalid procurement method or date entered</v>
      </c>
      <c r="N976" s="193" t="str">
        <f t="shared" si="4"/>
        <v>Invalid procurement method or date entered</v>
      </c>
      <c r="O976" s="14">
        <v>44287</v>
      </c>
      <c r="P976" s="12">
        <v>12</v>
      </c>
      <c r="Q976" s="5">
        <v>12</v>
      </c>
      <c r="R976" s="18">
        <v>30000</v>
      </c>
      <c r="S976" s="5" t="s">
        <v>109</v>
      </c>
      <c r="T976" s="5" t="s">
        <v>54</v>
      </c>
      <c r="U976" s="12" t="s">
        <v>37</v>
      </c>
      <c r="V976" s="12"/>
      <c r="W976" s="5" t="s">
        <v>286</v>
      </c>
      <c r="X976" s="449" t="s">
        <v>1053</v>
      </c>
      <c r="Y976" s="74" t="s">
        <v>457</v>
      </c>
      <c r="Z976" s="74" t="s">
        <v>95</v>
      </c>
      <c r="AA976" s="74" t="s">
        <v>41</v>
      </c>
      <c r="AB976" s="1369" t="s">
        <v>1253</v>
      </c>
      <c r="AC976" s="95" t="s">
        <v>1246</v>
      </c>
      <c r="AD976" s="74" t="s">
        <v>85</v>
      </c>
      <c r="AE976" s="306">
        <v>30000</v>
      </c>
    </row>
    <row r="977" spans="1:31" ht="115.2">
      <c r="A977" s="889"/>
      <c r="B977" s="1351" t="s">
        <v>28</v>
      </c>
      <c r="C977" s="4" t="s">
        <v>3910</v>
      </c>
      <c r="D977" s="5" t="s">
        <v>29</v>
      </c>
      <c r="E977" s="5"/>
      <c r="F977" s="5"/>
      <c r="G977" s="5"/>
      <c r="H977" s="5" t="s">
        <v>70</v>
      </c>
      <c r="I977" s="5" t="s">
        <v>34</v>
      </c>
      <c r="J977" s="16" t="s">
        <v>1229</v>
      </c>
      <c r="K977" s="8"/>
      <c r="L977" s="5" t="e">
        <f>IF(OR(S977=#REF!,S977=#REF!,S977=#REF!,S977=#REF!,S977=#REF!,S977=#REF!,S977=#REF!,S977=#REF!),12,IF(OR(S977=#REF!,S977=#REF!,S977=#REF!,S977=#REF!,S977=#REF!,S977=#REF!,S977=#REF!),3,IF(S977=#REF!,1,IF(S977=#REF!,18,IF(OR(S977=#REF!,S977=#REF!,S977=#REF!,S977=#REF!,S977=#REF!),14,"Invalid proposed procurement method")))))</f>
        <v>#REF!</v>
      </c>
      <c r="M977" s="193" t="str">
        <f t="shared" si="3"/>
        <v>Invalid procurement method or date entered</v>
      </c>
      <c r="N977" s="193" t="str">
        <f t="shared" si="4"/>
        <v>Invalid procurement method or date entered</v>
      </c>
      <c r="O977" s="176">
        <v>44287</v>
      </c>
      <c r="P977" s="12">
        <v>12</v>
      </c>
      <c r="Q977" s="12">
        <v>12</v>
      </c>
      <c r="R977" s="18">
        <v>30000</v>
      </c>
      <c r="S977" s="5" t="s">
        <v>109</v>
      </c>
      <c r="T977" s="5" t="s">
        <v>54</v>
      </c>
      <c r="U977" s="12" t="s">
        <v>37</v>
      </c>
      <c r="V977" s="12"/>
      <c r="W977" s="43" t="s">
        <v>3156</v>
      </c>
      <c r="X977" s="74" t="s">
        <v>1101</v>
      </c>
      <c r="Y977" s="74" t="s">
        <v>457</v>
      </c>
      <c r="Z977" s="74" t="s">
        <v>95</v>
      </c>
      <c r="AA977" s="74" t="s">
        <v>41</v>
      </c>
      <c r="AB977" s="316" t="s">
        <v>1245</v>
      </c>
      <c r="AC977" s="95" t="s">
        <v>3911</v>
      </c>
      <c r="AD977" s="74" t="s">
        <v>118</v>
      </c>
      <c r="AE977" s="306">
        <v>30000</v>
      </c>
    </row>
    <row r="978" spans="1:31" ht="86.4">
      <c r="A978" s="888"/>
      <c r="B978" s="114"/>
      <c r="C978" s="1362" t="s">
        <v>1252</v>
      </c>
      <c r="D978" s="9" t="s">
        <v>29</v>
      </c>
      <c r="E978" s="9"/>
      <c r="F978" s="9"/>
      <c r="G978" s="9"/>
      <c r="H978" s="5" t="s">
        <v>70</v>
      </c>
      <c r="I978" s="5" t="s">
        <v>64</v>
      </c>
      <c r="J978" s="16" t="s">
        <v>412</v>
      </c>
      <c r="K978" s="8"/>
      <c r="L978" s="8"/>
      <c r="M978" s="193">
        <v>43862</v>
      </c>
      <c r="N978" s="193"/>
      <c r="O978" s="193">
        <v>44287</v>
      </c>
      <c r="P978" s="5">
        <v>48</v>
      </c>
      <c r="Q978" s="7" t="s">
        <v>1316</v>
      </c>
      <c r="R978" s="18">
        <v>116160</v>
      </c>
      <c r="S978" s="5" t="s">
        <v>66</v>
      </c>
      <c r="T978" s="49" t="s">
        <v>36</v>
      </c>
      <c r="U978" s="45" t="s">
        <v>37</v>
      </c>
      <c r="V978" s="45"/>
      <c r="W978" s="5" t="s">
        <v>286</v>
      </c>
      <c r="X978" s="74" t="s">
        <v>1088</v>
      </c>
      <c r="Y978" s="74" t="s">
        <v>457</v>
      </c>
      <c r="Z978" s="74"/>
      <c r="AA978" s="74"/>
      <c r="AB978" s="316" t="s">
        <v>1082</v>
      </c>
      <c r="AC978" s="95" t="s">
        <v>3912</v>
      </c>
      <c r="AD978" s="70" t="s">
        <v>3483</v>
      </c>
      <c r="AE978" s="204">
        <v>29040</v>
      </c>
    </row>
    <row r="979" spans="1:31" ht="86.4">
      <c r="A979" s="888"/>
      <c r="B979" s="305"/>
      <c r="C979" s="4"/>
      <c r="D979" s="9" t="s">
        <v>60</v>
      </c>
      <c r="E979" s="9"/>
      <c r="F979" s="9"/>
      <c r="G979" s="9"/>
      <c r="H979" s="5" t="s">
        <v>63</v>
      </c>
      <c r="I979" s="5" t="s">
        <v>64</v>
      </c>
      <c r="J979" s="16" t="s">
        <v>3913</v>
      </c>
      <c r="K979" s="16"/>
      <c r="L979" s="16"/>
      <c r="M979" s="14">
        <v>43922</v>
      </c>
      <c r="N979" s="14"/>
      <c r="O979" s="14">
        <v>44287</v>
      </c>
      <c r="P979" s="12">
        <v>60</v>
      </c>
      <c r="Q979" s="5" t="s">
        <v>3346</v>
      </c>
      <c r="R979" s="39">
        <v>11652599.449999999</v>
      </c>
      <c r="S979" s="1335" t="s">
        <v>66</v>
      </c>
      <c r="T979" s="47" t="s">
        <v>41</v>
      </c>
      <c r="U979" s="45" t="s">
        <v>35</v>
      </c>
      <c r="V979" s="45"/>
      <c r="W979" s="5" t="s">
        <v>67</v>
      </c>
      <c r="X979" s="819" t="s">
        <v>1091</v>
      </c>
      <c r="Y979" s="74" t="s">
        <v>457</v>
      </c>
      <c r="Z979" s="74"/>
      <c r="AA979" s="74"/>
      <c r="AB979" s="316" t="s">
        <v>3429</v>
      </c>
      <c r="AC979" s="848" t="s">
        <v>3687</v>
      </c>
      <c r="AD979" s="70" t="s">
        <v>63</v>
      </c>
      <c r="AE979" s="204" t="s">
        <v>3914</v>
      </c>
    </row>
    <row r="980" spans="1:31" ht="72">
      <c r="A980" s="889"/>
      <c r="B980" s="168"/>
      <c r="C980" s="4"/>
      <c r="D980" s="9" t="s">
        <v>29</v>
      </c>
      <c r="E980" s="9"/>
      <c r="F980" s="9"/>
      <c r="G980" s="9"/>
      <c r="H980" s="5" t="s">
        <v>133</v>
      </c>
      <c r="I980" s="9" t="s">
        <v>64</v>
      </c>
      <c r="J980" s="16" t="s">
        <v>461</v>
      </c>
      <c r="K980" s="16"/>
      <c r="L980" s="16"/>
      <c r="M980" s="193">
        <v>43922</v>
      </c>
      <c r="N980" s="193"/>
      <c r="O980" s="46">
        <v>44287</v>
      </c>
      <c r="P980" s="15">
        <v>48</v>
      </c>
      <c r="Q980" s="15" t="s">
        <v>3915</v>
      </c>
      <c r="R980" s="18">
        <v>134400</v>
      </c>
      <c r="S980" s="5" t="s">
        <v>66</v>
      </c>
      <c r="T980" s="49" t="s">
        <v>54</v>
      </c>
      <c r="U980" s="45" t="s">
        <v>37</v>
      </c>
      <c r="V980" s="45"/>
      <c r="W980" s="9" t="s">
        <v>462</v>
      </c>
      <c r="X980" s="74" t="s">
        <v>1088</v>
      </c>
      <c r="Y980" s="74" t="s">
        <v>1266</v>
      </c>
      <c r="Z980" s="74"/>
      <c r="AA980" s="819"/>
      <c r="AB980" s="316" t="s">
        <v>3429</v>
      </c>
      <c r="AC980" s="747" t="s">
        <v>3916</v>
      </c>
      <c r="AD980" s="70" t="s">
        <v>416</v>
      </c>
      <c r="AE980" s="863">
        <v>33600</v>
      </c>
    </row>
    <row r="981" spans="1:31" ht="43.2">
      <c r="A981" s="852"/>
      <c r="B981" s="4"/>
      <c r="C981" s="4" t="s">
        <v>3019</v>
      </c>
      <c r="D981" s="5" t="s">
        <v>29</v>
      </c>
      <c r="E981" s="5"/>
      <c r="F981" s="5"/>
      <c r="G981" s="5"/>
      <c r="H981" s="5" t="s">
        <v>70</v>
      </c>
      <c r="I981" s="5" t="s">
        <v>34</v>
      </c>
      <c r="J981" s="16" t="s">
        <v>3917</v>
      </c>
      <c r="K981" s="16"/>
      <c r="L981" s="16"/>
      <c r="M981" s="176">
        <v>43952</v>
      </c>
      <c r="N981" s="176"/>
      <c r="O981" s="176">
        <v>44287</v>
      </c>
      <c r="P981" s="12">
        <v>12</v>
      </c>
      <c r="Q981" s="12">
        <v>12</v>
      </c>
      <c r="R981" s="18">
        <v>30000</v>
      </c>
      <c r="S981" s="5" t="s">
        <v>164</v>
      </c>
      <c r="T981" s="5" t="s">
        <v>54</v>
      </c>
      <c r="U981" s="12" t="s">
        <v>37</v>
      </c>
      <c r="V981" s="12"/>
      <c r="W981" s="5" t="s">
        <v>3918</v>
      </c>
      <c r="X981" s="449" t="s">
        <v>1053</v>
      </c>
      <c r="Y981" s="74" t="s">
        <v>457</v>
      </c>
      <c r="Z981" s="74"/>
      <c r="AA981" s="74"/>
      <c r="AB981" s="316" t="s">
        <v>1082</v>
      </c>
      <c r="AC981" s="95" t="s">
        <v>1246</v>
      </c>
      <c r="AD981" s="70" t="s">
        <v>2528</v>
      </c>
      <c r="AE981" s="204">
        <v>24935</v>
      </c>
    </row>
    <row r="982" spans="1:31" ht="43.2">
      <c r="A982" s="852"/>
      <c r="B982" s="114"/>
      <c r="C982" s="4" t="s">
        <v>35</v>
      </c>
      <c r="D982" s="9" t="s">
        <v>29</v>
      </c>
      <c r="E982" s="9"/>
      <c r="F982" s="9"/>
      <c r="G982" s="9"/>
      <c r="H982" s="5" t="s">
        <v>70</v>
      </c>
      <c r="I982" s="5" t="s">
        <v>34</v>
      </c>
      <c r="J982" s="1035" t="s">
        <v>1282</v>
      </c>
      <c r="K982" s="61"/>
      <c r="L982" s="5">
        <v>6</v>
      </c>
      <c r="M982" s="193">
        <f>IFERROR(EDATE($N982,-3),"Invalid procurement method or date entered")</f>
        <v>44013</v>
      </c>
      <c r="N982" s="193">
        <f>IFERROR(EDATE(O982,-L982),"Invalid procurement method or date entered")</f>
        <v>44105</v>
      </c>
      <c r="O982" s="176">
        <v>44287</v>
      </c>
      <c r="P982" s="12">
        <v>12</v>
      </c>
      <c r="Q982" s="12">
        <v>12</v>
      </c>
      <c r="R982" s="18">
        <v>9745.82</v>
      </c>
      <c r="S982" s="5" t="s">
        <v>909</v>
      </c>
      <c r="T982" s="49" t="s">
        <v>54</v>
      </c>
      <c r="U982" s="45" t="s">
        <v>37</v>
      </c>
      <c r="V982" s="45"/>
      <c r="W982" s="12" t="s">
        <v>301</v>
      </c>
      <c r="X982" s="819" t="s">
        <v>73</v>
      </c>
      <c r="Y982" s="74" t="s">
        <v>39</v>
      </c>
      <c r="Z982" s="74" t="s">
        <v>95</v>
      </c>
      <c r="AA982" s="74" t="s">
        <v>54</v>
      </c>
      <c r="AB982" s="316" t="s">
        <v>1269</v>
      </c>
      <c r="AC982" s="847"/>
      <c r="AD982" s="74" t="s">
        <v>141</v>
      </c>
      <c r="AE982" s="204">
        <v>9746</v>
      </c>
    </row>
    <row r="983" spans="1:31" ht="57.6">
      <c r="A983" s="888"/>
      <c r="B983" s="114"/>
      <c r="C983" s="4" t="s">
        <v>413</v>
      </c>
      <c r="D983" s="5" t="s">
        <v>29</v>
      </c>
      <c r="E983" s="5"/>
      <c r="F983" s="5"/>
      <c r="G983" s="5"/>
      <c r="H983" s="5" t="s">
        <v>364</v>
      </c>
      <c r="I983" s="5" t="s">
        <v>34</v>
      </c>
      <c r="J983" s="16" t="s">
        <v>414</v>
      </c>
      <c r="K983" s="16"/>
      <c r="L983" s="5" t="e">
        <f>IF(OR(S983=#REF!,S983=#REF!,S983=#REF!,S983=#REF!,S983=#REF!,S983=#REF!,S983=#REF!,S983=#REF!),12,IF(OR(S983=#REF!,S983=#REF!,S983=#REF!,S983=#REF!,S983=#REF!,S983=#REF!,S983=#REF!),3,IF(S983=#REF!,1,IF(S983=#REF!,18,IF(OR(S983=#REF!,S983=#REF!,S983=#REF!,S983=#REF!,S983=#REF!),14,"Invalid proposed procurement method")))))</f>
        <v>#REF!</v>
      </c>
      <c r="M983" s="193">
        <f>IFERROR(EDATE($N983,-3),"Invalid procurement method or date entered")</f>
        <v>44066</v>
      </c>
      <c r="N983" s="176">
        <v>44158</v>
      </c>
      <c r="O983" s="176">
        <v>44287</v>
      </c>
      <c r="P983" s="1330">
        <v>48</v>
      </c>
      <c r="Q983" s="12" t="s">
        <v>191</v>
      </c>
      <c r="R983" s="39">
        <v>156000</v>
      </c>
      <c r="S983" s="193" t="s">
        <v>217</v>
      </c>
      <c r="T983" s="50" t="s">
        <v>54</v>
      </c>
      <c r="U983" s="50" t="s">
        <v>37</v>
      </c>
      <c r="V983" s="50"/>
      <c r="W983" s="5" t="s">
        <v>415</v>
      </c>
      <c r="X983" s="74" t="s">
        <v>94</v>
      </c>
      <c r="Y983" s="74" t="s">
        <v>457</v>
      </c>
      <c r="Z983" s="74"/>
      <c r="AA983" s="74"/>
      <c r="AB983" s="316" t="s">
        <v>1269</v>
      </c>
      <c r="AC983" s="1472" t="s">
        <v>3448</v>
      </c>
      <c r="AD983" s="70" t="s">
        <v>416</v>
      </c>
      <c r="AE983" s="306"/>
    </row>
    <row r="984" spans="1:31" ht="43.2">
      <c r="A984" s="852"/>
      <c r="B984" s="114"/>
      <c r="C984" s="4"/>
      <c r="D984" s="9" t="s">
        <v>29</v>
      </c>
      <c r="E984" s="9"/>
      <c r="F984" s="9"/>
      <c r="G984" s="9"/>
      <c r="H984" s="9" t="s">
        <v>3174</v>
      </c>
      <c r="I984" s="9" t="s">
        <v>64</v>
      </c>
      <c r="J984" s="16" t="s">
        <v>3501</v>
      </c>
      <c r="K984" s="16"/>
      <c r="L984" s="16"/>
      <c r="M984" s="46">
        <v>44075</v>
      </c>
      <c r="N984" s="46"/>
      <c r="O984" s="46">
        <v>44287</v>
      </c>
      <c r="P984" s="15">
        <v>24</v>
      </c>
      <c r="Q984" s="15" t="s">
        <v>3919</v>
      </c>
      <c r="R984" s="18">
        <v>160000</v>
      </c>
      <c r="S984" s="1335" t="s">
        <v>66</v>
      </c>
      <c r="T984" s="49" t="s">
        <v>54</v>
      </c>
      <c r="U984" s="45" t="s">
        <v>37</v>
      </c>
      <c r="V984" s="45"/>
      <c r="W984" s="9" t="s">
        <v>2584</v>
      </c>
      <c r="X984" s="74" t="s">
        <v>1088</v>
      </c>
      <c r="Y984" s="74" t="s">
        <v>457</v>
      </c>
      <c r="Z984" s="74"/>
      <c r="AA984" s="819"/>
      <c r="AB984" s="316" t="s">
        <v>3429</v>
      </c>
      <c r="AC984" s="747" t="s">
        <v>3920</v>
      </c>
      <c r="AD984" s="70" t="s">
        <v>339</v>
      </c>
      <c r="AE984" s="863"/>
    </row>
    <row r="985" spans="1:31" ht="72">
      <c r="A985" s="888"/>
      <c r="B985" s="4"/>
      <c r="C985" s="4" t="s">
        <v>1209</v>
      </c>
      <c r="D985" s="5" t="s">
        <v>60</v>
      </c>
      <c r="E985" s="5"/>
      <c r="F985" s="5"/>
      <c r="G985" s="5"/>
      <c r="H985" s="5" t="s">
        <v>260</v>
      </c>
      <c r="I985" s="5" t="s">
        <v>34</v>
      </c>
      <c r="J985" s="16" t="s">
        <v>1210</v>
      </c>
      <c r="K985" s="16"/>
      <c r="L985" s="5" t="e">
        <f>IF(OR(S985=#REF!,S985=#REF!,S985=#REF!,S985=#REF!,S985=#REF!,S985=#REF!,S985=#REF!,S985=#REF!),12,IF(OR(S985=#REF!,S985=#REF!,S985=#REF!,S985=#REF!,S985=#REF!,S985=#REF!,S985=#REF!),3,IF(S985=#REF!,1,IF(S985=#REF!,18,IF(OR(S985=#REF!,S985=#REF!,S985=#REF!,S985=#REF!,S985=#REF!),14,"Invalid proposed procurement method")))))</f>
        <v>#REF!</v>
      </c>
      <c r="M985" s="193" t="str">
        <f t="shared" ref="M985:M994" si="5">IFERROR(EDATE($N985,-3),"Invalid procurement method or date entered")</f>
        <v>Invalid procurement method or date entered</v>
      </c>
      <c r="N985" s="193" t="str">
        <f t="shared" ref="N985:N995" si="6">IFERROR(EDATE(O985,-L985),"Invalid procurement method or date entered")</f>
        <v>Invalid procurement method or date entered</v>
      </c>
      <c r="O985" s="14">
        <v>44287</v>
      </c>
      <c r="P985" s="12">
        <v>12</v>
      </c>
      <c r="Q985" s="5">
        <v>12</v>
      </c>
      <c r="R985" s="18">
        <v>7600</v>
      </c>
      <c r="S985" s="5" t="s">
        <v>217</v>
      </c>
      <c r="T985" s="14" t="s">
        <v>54</v>
      </c>
      <c r="U985" s="14" t="s">
        <v>37</v>
      </c>
      <c r="V985" s="14"/>
      <c r="W985" s="5" t="s">
        <v>343</v>
      </c>
      <c r="X985" s="74" t="s">
        <v>1053</v>
      </c>
      <c r="Y985" s="74" t="s">
        <v>457</v>
      </c>
      <c r="Z985" s="74"/>
      <c r="AA985" s="1356" t="s">
        <v>54</v>
      </c>
      <c r="AB985" s="316" t="s">
        <v>1250</v>
      </c>
      <c r="AC985" s="846" t="s">
        <v>1246</v>
      </c>
      <c r="AD985" s="70" t="s">
        <v>63</v>
      </c>
      <c r="AE985" s="872">
        <v>7600</v>
      </c>
    </row>
    <row r="986" spans="1:31" ht="57.6">
      <c r="A986" s="852"/>
      <c r="B986" s="168"/>
      <c r="C986" s="4" t="s">
        <v>1294</v>
      </c>
      <c r="D986" s="9" t="s">
        <v>29</v>
      </c>
      <c r="E986" s="9"/>
      <c r="F986" s="9"/>
      <c r="G986" s="9"/>
      <c r="H986" s="5" t="s">
        <v>70</v>
      </c>
      <c r="I986" s="5" t="s">
        <v>64</v>
      </c>
      <c r="J986" s="16" t="s">
        <v>388</v>
      </c>
      <c r="K986" s="8"/>
      <c r="L986" s="5">
        <v>3</v>
      </c>
      <c r="M986" s="193">
        <f t="shared" si="5"/>
        <v>44105</v>
      </c>
      <c r="N986" s="193">
        <f t="shared" si="6"/>
        <v>44197</v>
      </c>
      <c r="O986" s="193">
        <v>44287</v>
      </c>
      <c r="P986" s="5">
        <v>48</v>
      </c>
      <c r="Q986" s="7" t="s">
        <v>1316</v>
      </c>
      <c r="R986" s="18">
        <v>108000</v>
      </c>
      <c r="S986" s="5" t="s">
        <v>66</v>
      </c>
      <c r="T986" s="5" t="s">
        <v>54</v>
      </c>
      <c r="U986" s="12" t="s">
        <v>37</v>
      </c>
      <c r="V986" s="12"/>
      <c r="W986" s="5" t="s">
        <v>390</v>
      </c>
      <c r="X986" s="74" t="s">
        <v>1088</v>
      </c>
      <c r="Y986" s="74" t="s">
        <v>457</v>
      </c>
      <c r="Z986" s="74" t="s">
        <v>40</v>
      </c>
      <c r="AA986" s="74" t="s">
        <v>41</v>
      </c>
      <c r="AB986" s="316" t="s">
        <v>1250</v>
      </c>
      <c r="AC986" s="95" t="s">
        <v>3921</v>
      </c>
      <c r="AD986" s="74" t="s">
        <v>114</v>
      </c>
      <c r="AE986" s="204">
        <v>27000</v>
      </c>
    </row>
    <row r="987" spans="1:31" ht="72">
      <c r="A987" s="1363"/>
      <c r="B987" s="114"/>
      <c r="C987" s="4" t="s">
        <v>3922</v>
      </c>
      <c r="D987" s="5" t="s">
        <v>29</v>
      </c>
      <c r="E987" s="5"/>
      <c r="F987" s="5"/>
      <c r="G987" s="5"/>
      <c r="H987" s="5" t="s">
        <v>364</v>
      </c>
      <c r="I987" s="5" t="s">
        <v>34</v>
      </c>
      <c r="J987" s="16" t="s">
        <v>3070</v>
      </c>
      <c r="K987" s="16"/>
      <c r="L987" s="5" t="e">
        <f>IF(OR(S987=#REF!,S987=#REF!,S987=#REF!,S987=#REF!,S987=#REF!,S987=#REF!,S987=#REF!,S987=#REF!),12,IF(OR(S987=#REF!,S987=#REF!,S987=#REF!,S987=#REF!,S987=#REF!,S987=#REF!,S987=#REF!),3,IF(S987=#REF!,1,IF(S987=#REF!,18,IF(OR(S987=#REF!,S987=#REF!,S987=#REF!,S987=#REF!,S987=#REF!),14,"Invalid proposed procurement method")))))</f>
        <v>#REF!</v>
      </c>
      <c r="M987" s="193" t="str">
        <f t="shared" si="5"/>
        <v>Invalid procurement method or date entered</v>
      </c>
      <c r="N987" s="193" t="str">
        <f t="shared" si="6"/>
        <v>Invalid procurement method or date entered</v>
      </c>
      <c r="O987" s="176">
        <v>44287</v>
      </c>
      <c r="P987" s="1330">
        <v>60</v>
      </c>
      <c r="Q987" s="12" t="s">
        <v>358</v>
      </c>
      <c r="R987" s="39">
        <v>35000</v>
      </c>
      <c r="S987" s="193" t="s">
        <v>217</v>
      </c>
      <c r="T987" s="50" t="s">
        <v>54</v>
      </c>
      <c r="U987" s="50" t="s">
        <v>37</v>
      </c>
      <c r="V987" s="50"/>
      <c r="W987" s="5" t="s">
        <v>415</v>
      </c>
      <c r="X987" s="74" t="s">
        <v>94</v>
      </c>
      <c r="Y987" s="74" t="s">
        <v>457</v>
      </c>
      <c r="Z987" s="74"/>
      <c r="AA987" s="74"/>
      <c r="AB987" s="316" t="s">
        <v>1269</v>
      </c>
      <c r="AC987" s="1472" t="s">
        <v>3448</v>
      </c>
      <c r="AD987" s="70" t="s">
        <v>416</v>
      </c>
      <c r="AE987" s="306"/>
    </row>
    <row r="988" spans="1:31" ht="72">
      <c r="A988" s="888"/>
      <c r="B988" s="114"/>
      <c r="C988" s="4" t="s">
        <v>447</v>
      </c>
      <c r="D988" s="5" t="s">
        <v>29</v>
      </c>
      <c r="E988" s="5"/>
      <c r="F988" s="5"/>
      <c r="G988" s="5"/>
      <c r="H988" s="5" t="s">
        <v>364</v>
      </c>
      <c r="I988" s="5" t="s">
        <v>34</v>
      </c>
      <c r="J988" s="16" t="s">
        <v>448</v>
      </c>
      <c r="K988" s="16"/>
      <c r="L988" s="5" t="e">
        <f>IF(OR(S988=#REF!,S988=#REF!,S988=#REF!,S988=#REF!,S988=#REF!,S988=#REF!,S988=#REF!,S988=#REF!),12,IF(OR(S988=#REF!,S988=#REF!,S988=#REF!,S988=#REF!,S988=#REF!,S988=#REF!,S988=#REF!),3,IF(S988=#REF!,1,IF(S988=#REF!,18,IF(OR(S988=#REF!,S988=#REF!,S988=#REF!,S988=#REF!,S988=#REF!),14,"Invalid proposed procurement method")))))</f>
        <v>#REF!</v>
      </c>
      <c r="M988" s="193" t="str">
        <f t="shared" si="5"/>
        <v>Invalid procurement method or date entered</v>
      </c>
      <c r="N988" s="193" t="str">
        <f t="shared" si="6"/>
        <v>Invalid procurement method or date entered</v>
      </c>
      <c r="O988" s="176">
        <v>44287</v>
      </c>
      <c r="P988" s="1330">
        <v>48</v>
      </c>
      <c r="Q988" s="12" t="s">
        <v>191</v>
      </c>
      <c r="R988" s="39">
        <v>180000</v>
      </c>
      <c r="S988" s="193" t="s">
        <v>217</v>
      </c>
      <c r="T988" s="50" t="s">
        <v>54</v>
      </c>
      <c r="U988" s="50" t="s">
        <v>37</v>
      </c>
      <c r="V988" s="50"/>
      <c r="W988" s="5" t="s">
        <v>415</v>
      </c>
      <c r="X988" s="74" t="s">
        <v>94</v>
      </c>
      <c r="Y988" s="74" t="s">
        <v>457</v>
      </c>
      <c r="Z988" s="74"/>
      <c r="AA988" s="74"/>
      <c r="AB988" s="316" t="s">
        <v>1269</v>
      </c>
      <c r="AC988" s="1472" t="s">
        <v>3448</v>
      </c>
      <c r="AD988" s="70" t="s">
        <v>416</v>
      </c>
      <c r="AE988" s="306"/>
    </row>
    <row r="989" spans="1:31" ht="43.2">
      <c r="A989" s="1363"/>
      <c r="B989" s="4"/>
      <c r="C989" s="194" t="s">
        <v>35</v>
      </c>
      <c r="D989" s="5" t="s">
        <v>29</v>
      </c>
      <c r="E989" s="5"/>
      <c r="F989" s="5"/>
      <c r="G989" s="5"/>
      <c r="H989" s="5" t="s">
        <v>70</v>
      </c>
      <c r="I989" s="5" t="s">
        <v>34</v>
      </c>
      <c r="J989" s="16" t="s">
        <v>1201</v>
      </c>
      <c r="K989" s="16"/>
      <c r="L989" s="5">
        <v>3</v>
      </c>
      <c r="M989" s="193">
        <f t="shared" si="5"/>
        <v>44105</v>
      </c>
      <c r="N989" s="193">
        <f t="shared" si="6"/>
        <v>44197</v>
      </c>
      <c r="O989" s="176">
        <v>44287</v>
      </c>
      <c r="P989" s="12">
        <v>12</v>
      </c>
      <c r="Q989" s="12">
        <v>12</v>
      </c>
      <c r="R989" s="18">
        <v>10000</v>
      </c>
      <c r="S989" s="5" t="s">
        <v>163</v>
      </c>
      <c r="T989" s="5" t="s">
        <v>54</v>
      </c>
      <c r="U989" s="12" t="s">
        <v>37</v>
      </c>
      <c r="V989" s="12"/>
      <c r="W989" s="5" t="s">
        <v>3252</v>
      </c>
      <c r="X989" s="74" t="s">
        <v>1119</v>
      </c>
      <c r="Y989" s="74" t="s">
        <v>39</v>
      </c>
      <c r="Z989" s="74" t="s">
        <v>95</v>
      </c>
      <c r="AA989" s="74" t="s">
        <v>41</v>
      </c>
      <c r="AB989" s="316">
        <v>44321</v>
      </c>
      <c r="AC989" s="846" t="s">
        <v>3923</v>
      </c>
      <c r="AD989" s="74" t="s">
        <v>141</v>
      </c>
      <c r="AE989" s="839"/>
    </row>
    <row r="990" spans="1:31" ht="72">
      <c r="A990" s="888"/>
      <c r="B990" s="1351" t="s">
        <v>28</v>
      </c>
      <c r="C990" s="1351" t="s">
        <v>35</v>
      </c>
      <c r="D990" s="9" t="s">
        <v>29</v>
      </c>
      <c r="E990" s="9"/>
      <c r="F990" s="9"/>
      <c r="G990" s="9"/>
      <c r="H990" s="5" t="s">
        <v>176</v>
      </c>
      <c r="I990" s="5" t="s">
        <v>34</v>
      </c>
      <c r="J990" s="16" t="s">
        <v>1228</v>
      </c>
      <c r="K990" s="8"/>
      <c r="L990" s="5" t="e">
        <f>IF(OR(S990=#REF!,S990=#REF!,S990=#REF!,S990=#REF!,S990=#REF!,S990=#REF!,S990=#REF!,S990=#REF!),12,IF(OR(S990=#REF!,S990=#REF!,S990=#REF!,S990=#REF!,S990=#REF!,S990=#REF!,S990=#REF!),3,IF(S990=#REF!,1,IF(S990=#REF!,18,IF(OR(S990=#REF!,S990=#REF!,S990=#REF!,S990=#REF!,S990=#REF!),14,"Invalid proposed procurement method")))))</f>
        <v>#REF!</v>
      </c>
      <c r="M990" s="193" t="str">
        <f t="shared" si="5"/>
        <v>Invalid procurement method or date entered</v>
      </c>
      <c r="N990" s="193" t="str">
        <f t="shared" si="6"/>
        <v>Invalid procurement method or date entered</v>
      </c>
      <c r="O990" s="193">
        <v>44287</v>
      </c>
      <c r="P990" s="5">
        <v>12</v>
      </c>
      <c r="Q990" s="5">
        <v>12</v>
      </c>
      <c r="R990" s="18">
        <v>31166</v>
      </c>
      <c r="S990" s="5" t="s">
        <v>217</v>
      </c>
      <c r="T990" s="5" t="s">
        <v>54</v>
      </c>
      <c r="U990" s="12" t="s">
        <v>37</v>
      </c>
      <c r="V990" s="12"/>
      <c r="W990" s="5" t="s">
        <v>384</v>
      </c>
      <c r="X990" s="74" t="s">
        <v>1119</v>
      </c>
      <c r="Y990" s="74" t="s">
        <v>457</v>
      </c>
      <c r="Z990" s="74" t="s">
        <v>95</v>
      </c>
      <c r="AA990" s="74" t="s">
        <v>41</v>
      </c>
      <c r="AB990" s="316" t="s">
        <v>1245</v>
      </c>
      <c r="AC990" s="95" t="s">
        <v>3924</v>
      </c>
      <c r="AD990" s="70" t="s">
        <v>450</v>
      </c>
      <c r="AE990" s="306">
        <v>31166</v>
      </c>
    </row>
    <row r="991" spans="1:31" ht="43.2">
      <c r="A991" s="1363"/>
      <c r="B991" s="4"/>
      <c r="C991" s="4" t="s">
        <v>37</v>
      </c>
      <c r="D991" s="9" t="s">
        <v>29</v>
      </c>
      <c r="E991" s="9"/>
      <c r="F991" s="9"/>
      <c r="G991" s="9"/>
      <c r="H991" s="9" t="s">
        <v>171</v>
      </c>
      <c r="I991" s="5" t="s">
        <v>34</v>
      </c>
      <c r="J991" s="16" t="s">
        <v>3925</v>
      </c>
      <c r="K991" s="8"/>
      <c r="L991" s="5">
        <v>1</v>
      </c>
      <c r="M991" s="193">
        <f t="shared" si="5"/>
        <v>44166</v>
      </c>
      <c r="N991" s="193">
        <f t="shared" si="6"/>
        <v>44256</v>
      </c>
      <c r="O991" s="193">
        <v>44287</v>
      </c>
      <c r="P991" s="5">
        <v>6</v>
      </c>
      <c r="Q991" s="5">
        <v>6</v>
      </c>
      <c r="R991" s="18">
        <v>45000</v>
      </c>
      <c r="S991" s="5" t="s">
        <v>217</v>
      </c>
      <c r="T991" s="1375" t="s">
        <v>54</v>
      </c>
      <c r="U991" s="1403" t="s">
        <v>37</v>
      </c>
      <c r="V991" s="1403"/>
      <c r="W991" s="5" t="s">
        <v>828</v>
      </c>
      <c r="X991" s="74" t="s">
        <v>219</v>
      </c>
      <c r="Y991" s="74" t="s">
        <v>39</v>
      </c>
      <c r="Z991" s="74"/>
      <c r="AA991" s="819" t="s">
        <v>54</v>
      </c>
      <c r="AB991" s="316" t="s">
        <v>1250</v>
      </c>
      <c r="AC991" s="95" t="s">
        <v>3926</v>
      </c>
      <c r="AD991" s="70" t="s">
        <v>416</v>
      </c>
      <c r="AE991" s="864">
        <v>45000</v>
      </c>
    </row>
    <row r="992" spans="1:31" ht="43.2">
      <c r="A992" s="852"/>
      <c r="B992" s="114"/>
      <c r="C992" s="4" t="s">
        <v>35</v>
      </c>
      <c r="D992" s="9" t="s">
        <v>29</v>
      </c>
      <c r="E992" s="9"/>
      <c r="F992" s="9"/>
      <c r="G992" s="9"/>
      <c r="H992" s="5" t="s">
        <v>70</v>
      </c>
      <c r="I992" s="5" t="s">
        <v>34</v>
      </c>
      <c r="J992" s="1035" t="s">
        <v>1123</v>
      </c>
      <c r="K992" s="61"/>
      <c r="L992" s="5">
        <v>1</v>
      </c>
      <c r="M992" s="193">
        <f t="shared" si="5"/>
        <v>44166</v>
      </c>
      <c r="N992" s="193">
        <f t="shared" si="6"/>
        <v>44256</v>
      </c>
      <c r="O992" s="176">
        <v>44287</v>
      </c>
      <c r="P992" s="12">
        <v>12</v>
      </c>
      <c r="Q992" s="12">
        <v>12</v>
      </c>
      <c r="R992" s="18">
        <v>7800</v>
      </c>
      <c r="S992" s="5" t="s">
        <v>909</v>
      </c>
      <c r="T992" s="49" t="s">
        <v>54</v>
      </c>
      <c r="U992" s="45" t="s">
        <v>37</v>
      </c>
      <c r="V992" s="45"/>
      <c r="W992" s="12" t="s">
        <v>301</v>
      </c>
      <c r="X992" s="819" t="s">
        <v>73</v>
      </c>
      <c r="Y992" s="74" t="s">
        <v>59</v>
      </c>
      <c r="Z992" s="74" t="s">
        <v>95</v>
      </c>
      <c r="AA992" s="74" t="s">
        <v>54</v>
      </c>
      <c r="AB992" s="316" t="s">
        <v>1269</v>
      </c>
      <c r="AC992" s="847" t="s">
        <v>1223</v>
      </c>
      <c r="AD992" s="74" t="s">
        <v>141</v>
      </c>
      <c r="AE992" s="306">
        <v>7800</v>
      </c>
    </row>
    <row r="993" spans="1:31" ht="115.2">
      <c r="A993" s="1363"/>
      <c r="B993" s="4"/>
      <c r="C993" s="4" t="s">
        <v>3927</v>
      </c>
      <c r="D993" s="9" t="s">
        <v>60</v>
      </c>
      <c r="E993" s="9"/>
      <c r="F993" s="9"/>
      <c r="G993" s="9"/>
      <c r="H993" s="5" t="s">
        <v>70</v>
      </c>
      <c r="I993" s="12" t="s">
        <v>34</v>
      </c>
      <c r="J993" s="16" t="s">
        <v>3928</v>
      </c>
      <c r="K993" s="8"/>
      <c r="L993" s="5" t="e">
        <f>IF(OR(S993=#REF!,S993=#REF!,S993=#REF!,S993=#REF!,S993=#REF!,S993=#REF!,S993=#REF!,S993=#REF!),12,IF(OR(S993=#REF!,S993=#REF!,S993=#REF!,S993=#REF!,S993=#REF!,S993=#REF!,S993=#REF!),3,IF(S993=#REF!,1,IF(S993=#REF!,18,IF(OR(S993=#REF!,S993=#REF!,S993=#REF!,S993=#REF!,S993=#REF!),14,"Invalid proposed procurement method")))))</f>
        <v>#REF!</v>
      </c>
      <c r="M993" s="193" t="str">
        <f t="shared" si="5"/>
        <v>Invalid procurement method or date entered</v>
      </c>
      <c r="N993" s="193" t="str">
        <f t="shared" si="6"/>
        <v>Invalid procurement method or date entered</v>
      </c>
      <c r="O993" s="193">
        <v>44287</v>
      </c>
      <c r="P993" s="5">
        <v>12</v>
      </c>
      <c r="Q993" s="7" t="s">
        <v>108</v>
      </c>
      <c r="R993" s="18">
        <v>8391</v>
      </c>
      <c r="S993" s="5" t="s">
        <v>909</v>
      </c>
      <c r="T993" s="1375" t="s">
        <v>54</v>
      </c>
      <c r="U993" s="12" t="s">
        <v>37</v>
      </c>
      <c r="V993" s="12"/>
      <c r="W993" s="5" t="s">
        <v>218</v>
      </c>
      <c r="X993" s="74" t="s">
        <v>1091</v>
      </c>
      <c r="Y993" s="74" t="s">
        <v>457</v>
      </c>
      <c r="Z993" s="74" t="s">
        <v>95</v>
      </c>
      <c r="AA993" s="74" t="s">
        <v>41</v>
      </c>
      <c r="AB993" s="316" t="s">
        <v>1269</v>
      </c>
      <c r="AC993" s="95" t="s">
        <v>3929</v>
      </c>
      <c r="AD993" s="74" t="s">
        <v>96</v>
      </c>
      <c r="AE993" s="306">
        <v>8391</v>
      </c>
    </row>
    <row r="994" spans="1:31" ht="72">
      <c r="A994" s="1000"/>
      <c r="B994" s="1351"/>
      <c r="C994" s="4" t="s">
        <v>35</v>
      </c>
      <c r="D994" s="5" t="s">
        <v>29</v>
      </c>
      <c r="E994" s="5"/>
      <c r="F994" s="5"/>
      <c r="G994" s="5"/>
      <c r="H994" s="5" t="s">
        <v>70</v>
      </c>
      <c r="I994" s="5" t="s">
        <v>34</v>
      </c>
      <c r="J994" s="1351" t="s">
        <v>1211</v>
      </c>
      <c r="K994" s="1351"/>
      <c r="L994" s="5" t="e">
        <f>IF(OR(S994=#REF!,S994=#REF!,S994=#REF!,S994=#REF!,S994=#REF!,S994=#REF!,S994=#REF!,S994=#REF!),12,IF(OR(S994=#REF!,S994=#REF!,S994=#REF!,S994=#REF!,S994=#REF!,S994=#REF!,S994=#REF!),3,IF(S994=#REF!,1,IF(S994=#REF!,18,IF(OR(S994=#REF!,S994=#REF!,S994=#REF!,S994=#REF!,S994=#REF!),14,"Invalid proposed procurement method")))))</f>
        <v>#REF!</v>
      </c>
      <c r="M994" s="193" t="str">
        <f t="shared" si="5"/>
        <v>Invalid procurement method or date entered</v>
      </c>
      <c r="N994" s="193" t="str">
        <f t="shared" si="6"/>
        <v>Invalid procurement method or date entered</v>
      </c>
      <c r="O994" s="1329">
        <v>44287</v>
      </c>
      <c r="P994" s="1330">
        <v>12</v>
      </c>
      <c r="Q994" s="1330">
        <v>12</v>
      </c>
      <c r="R994" s="1353">
        <v>8398.92</v>
      </c>
      <c r="S994" s="1335" t="s">
        <v>909</v>
      </c>
      <c r="T994" s="1330" t="s">
        <v>54</v>
      </c>
      <c r="U994" s="1330" t="s">
        <v>37</v>
      </c>
      <c r="V994" s="1330"/>
      <c r="W994" s="5" t="s">
        <v>113</v>
      </c>
      <c r="X994" s="1356" t="s">
        <v>73</v>
      </c>
      <c r="Y994" s="1356" t="s">
        <v>59</v>
      </c>
      <c r="Z994" s="74" t="s">
        <v>95</v>
      </c>
      <c r="AA994" s="74" t="s">
        <v>54</v>
      </c>
      <c r="AB994" s="316" t="s">
        <v>1269</v>
      </c>
      <c r="AC994" s="1472" t="s">
        <v>3930</v>
      </c>
      <c r="AD994" s="74" t="s">
        <v>114</v>
      </c>
      <c r="AE994" s="306">
        <v>8399</v>
      </c>
    </row>
    <row r="995" spans="1:31" ht="100.8">
      <c r="A995" s="1363"/>
      <c r="B995" s="114"/>
      <c r="C995" s="4" t="s">
        <v>3931</v>
      </c>
      <c r="D995" s="9" t="s">
        <v>29</v>
      </c>
      <c r="E995" s="9"/>
      <c r="F995" s="9"/>
      <c r="G995" s="9"/>
      <c r="H995" s="5" t="s">
        <v>70</v>
      </c>
      <c r="I995" s="5" t="s">
        <v>34</v>
      </c>
      <c r="J995" s="16" t="s">
        <v>449</v>
      </c>
      <c r="K995" s="8"/>
      <c r="L995" s="5" t="e">
        <f>IF(OR(S995=#REF!,S995=#REF!,S995=#REF!,S995=#REF!,S995=#REF!,S995=#REF!,S995=#REF!,S995=#REF!),12,IF(OR(S995=#REF!,S995=#REF!,S995=#REF!,S995=#REF!,S995=#REF!,S995=#REF!,S995=#REF!),3,IF(S995=#REF!,1,IF(S995=#REF!,18,IF(OR(S995=#REF!,S995=#REF!,S995=#REF!,S995=#REF!,S995=#REF!),14,"Invalid proposed procurement method")))))</f>
        <v>#REF!</v>
      </c>
      <c r="M995" s="193">
        <v>44218</v>
      </c>
      <c r="N995" s="193" t="str">
        <f t="shared" si="6"/>
        <v>Invalid procurement method or date entered</v>
      </c>
      <c r="O995" s="14">
        <v>44287</v>
      </c>
      <c r="P995" s="12">
        <v>24</v>
      </c>
      <c r="Q995" s="5">
        <v>24</v>
      </c>
      <c r="R995" s="18">
        <v>187400</v>
      </c>
      <c r="S995" s="5" t="s">
        <v>173</v>
      </c>
      <c r="T995" s="49" t="s">
        <v>36</v>
      </c>
      <c r="U995" s="45" t="s">
        <v>37</v>
      </c>
      <c r="V995" s="45"/>
      <c r="W995" s="5" t="s">
        <v>390</v>
      </c>
      <c r="X995" s="74" t="s">
        <v>1101</v>
      </c>
      <c r="Y995" s="74" t="s">
        <v>1272</v>
      </c>
      <c r="Z995" s="74"/>
      <c r="AA995" s="74" t="s">
        <v>41</v>
      </c>
      <c r="AB995" s="316" t="s">
        <v>1269</v>
      </c>
      <c r="AC995" s="847" t="s">
        <v>3932</v>
      </c>
      <c r="AD995" s="74" t="s">
        <v>450</v>
      </c>
      <c r="AE995" s="191">
        <v>93700</v>
      </c>
    </row>
    <row r="996" spans="1:31" ht="201.6">
      <c r="A996" s="1363"/>
      <c r="B996" s="305"/>
      <c r="C996" s="1327" t="s">
        <v>3933</v>
      </c>
      <c r="D996" s="1335" t="s">
        <v>29</v>
      </c>
      <c r="E996" s="1335"/>
      <c r="F996" s="1335"/>
      <c r="G996" s="1335"/>
      <c r="H996" s="5" t="s">
        <v>81</v>
      </c>
      <c r="I996" s="1335" t="s">
        <v>34</v>
      </c>
      <c r="J996" s="1339" t="s">
        <v>1251</v>
      </c>
      <c r="K996" s="1327"/>
      <c r="L996" s="5">
        <v>24</v>
      </c>
      <c r="M996" s="1337">
        <v>44927</v>
      </c>
      <c r="N996" s="193">
        <v>44197</v>
      </c>
      <c r="O996" s="1337">
        <v>44287</v>
      </c>
      <c r="P996" s="12">
        <v>48</v>
      </c>
      <c r="Q996" s="1335" t="s">
        <v>191</v>
      </c>
      <c r="R996" s="18">
        <v>100000</v>
      </c>
      <c r="S996" s="193" t="s">
        <v>217</v>
      </c>
      <c r="T996" s="5" t="s">
        <v>54</v>
      </c>
      <c r="U996" s="14" t="s">
        <v>37</v>
      </c>
      <c r="V996" s="14"/>
      <c r="W996" s="5" t="s">
        <v>1117</v>
      </c>
      <c r="X996" s="74" t="s">
        <v>175</v>
      </c>
      <c r="Y996" s="1342" t="s">
        <v>457</v>
      </c>
      <c r="Z996" s="74" t="s">
        <v>80</v>
      </c>
      <c r="AA996" s="1342" t="s">
        <v>54</v>
      </c>
      <c r="AB996" s="316">
        <v>44371</v>
      </c>
      <c r="AC996" s="1341" t="s">
        <v>3934</v>
      </c>
      <c r="AD996" s="70" t="s">
        <v>81</v>
      </c>
      <c r="AE996" s="204">
        <v>25000</v>
      </c>
    </row>
    <row r="997" spans="1:31" ht="43.2">
      <c r="A997" s="888"/>
      <c r="B997" s="305"/>
      <c r="C997" s="16" t="s">
        <v>1200</v>
      </c>
      <c r="D997" s="9" t="s">
        <v>60</v>
      </c>
      <c r="E997" s="9"/>
      <c r="F997" s="9"/>
      <c r="G997" s="9"/>
      <c r="H997" s="5" t="s">
        <v>260</v>
      </c>
      <c r="I997" s="5" t="s">
        <v>34</v>
      </c>
      <c r="J997" s="16" t="s">
        <v>261</v>
      </c>
      <c r="K997" s="16"/>
      <c r="L997" s="16"/>
      <c r="M997" s="176">
        <v>43739</v>
      </c>
      <c r="N997" s="176"/>
      <c r="O997" s="176">
        <v>44287</v>
      </c>
      <c r="P997" s="12">
        <v>24</v>
      </c>
      <c r="Q997" s="7" t="s">
        <v>366</v>
      </c>
      <c r="R997" s="18">
        <v>23000</v>
      </c>
      <c r="S997" s="5" t="s">
        <v>109</v>
      </c>
      <c r="T997" s="5" t="s">
        <v>54</v>
      </c>
      <c r="U997" s="11" t="s">
        <v>37</v>
      </c>
      <c r="V997" s="11"/>
      <c r="W997" s="5" t="s">
        <v>233</v>
      </c>
      <c r="X997" s="819" t="s">
        <v>90</v>
      </c>
      <c r="Y997" s="74" t="s">
        <v>39</v>
      </c>
      <c r="Z997" s="74"/>
      <c r="AA997" s="74"/>
      <c r="AB997" s="316" t="s">
        <v>1082</v>
      </c>
      <c r="AC997" s="95" t="s">
        <v>3935</v>
      </c>
      <c r="AD997" s="70" t="s">
        <v>260</v>
      </c>
      <c r="AE997" s="306">
        <v>11500</v>
      </c>
    </row>
    <row r="998" spans="1:31" ht="216">
      <c r="A998" s="888"/>
      <c r="B998" s="323" t="s">
        <v>145</v>
      </c>
      <c r="C998" s="323"/>
      <c r="D998" s="8" t="s">
        <v>29</v>
      </c>
      <c r="E998" s="8"/>
      <c r="F998" s="8"/>
      <c r="G998" s="8"/>
      <c r="H998" s="8" t="s">
        <v>148</v>
      </c>
      <c r="I998" s="8" t="s">
        <v>64</v>
      </c>
      <c r="J998" s="16" t="s">
        <v>3936</v>
      </c>
      <c r="K998" s="8"/>
      <c r="L998" s="78">
        <v>14</v>
      </c>
      <c r="M998" s="409">
        <f>IFERROR(EDATE(N998,-3),"Invalid procurement method or date entered")</f>
        <v>43770</v>
      </c>
      <c r="N998" s="410">
        <f t="shared" ref="N998:N1012" si="7">IFERROR(EDATE(O998,-L998),"Invalid procurement method or date entered")</f>
        <v>43862</v>
      </c>
      <c r="O998" s="328">
        <v>44287</v>
      </c>
      <c r="P998" s="5">
        <v>48</v>
      </c>
      <c r="Q998" s="7" t="s">
        <v>191</v>
      </c>
      <c r="R998" s="153">
        <v>605205</v>
      </c>
      <c r="S998" s="153" t="s">
        <v>98</v>
      </c>
      <c r="T998" s="184" t="s">
        <v>41</v>
      </c>
      <c r="U998" s="184" t="s">
        <v>35</v>
      </c>
      <c r="V998" s="184"/>
      <c r="W998" s="8" t="s">
        <v>3937</v>
      </c>
      <c r="X998" s="95" t="s">
        <v>428</v>
      </c>
      <c r="Y998" s="95" t="s">
        <v>457</v>
      </c>
      <c r="Z998" s="95"/>
      <c r="AA998" s="321"/>
      <c r="AB998" s="837" t="s">
        <v>41</v>
      </c>
      <c r="AC998" s="453" t="s">
        <v>3938</v>
      </c>
      <c r="AD998" s="453"/>
      <c r="AE998" s="453"/>
    </row>
    <row r="999" spans="1:31" ht="28.8">
      <c r="A999" s="888"/>
      <c r="B999" s="323" t="s">
        <v>145</v>
      </c>
      <c r="C999" s="323"/>
      <c r="D999" s="194" t="s">
        <v>92</v>
      </c>
      <c r="E999" s="194"/>
      <c r="F999" s="194"/>
      <c r="G999" s="194"/>
      <c r="H999" s="345" t="s">
        <v>266</v>
      </c>
      <c r="I999" s="345" t="s">
        <v>34</v>
      </c>
      <c r="J999" s="386" t="s">
        <v>3939</v>
      </c>
      <c r="K999" s="386"/>
      <c r="L999" s="78">
        <v>14</v>
      </c>
      <c r="M999" s="394">
        <f>IFERROR(EDATE(N999,-3),"Invalid procurement method or date entered")</f>
        <v>43770</v>
      </c>
      <c r="N999" s="346">
        <f t="shared" si="7"/>
        <v>43862</v>
      </c>
      <c r="O999" s="140">
        <v>44287</v>
      </c>
      <c r="P999" s="66">
        <v>84</v>
      </c>
      <c r="Q999" s="66" t="s">
        <v>573</v>
      </c>
      <c r="R999" s="352">
        <v>1274000</v>
      </c>
      <c r="S999" s="66" t="s">
        <v>98</v>
      </c>
      <c r="T999" s="804" t="s">
        <v>41</v>
      </c>
      <c r="U999" s="411">
        <v>44068</v>
      </c>
      <c r="V999" s="411"/>
      <c r="W999" s="386" t="s">
        <v>680</v>
      </c>
      <c r="X999" s="387" t="s">
        <v>184</v>
      </c>
      <c r="Y999" s="387" t="s">
        <v>39</v>
      </c>
      <c r="Z999" s="387"/>
      <c r="AA999" s="387" t="s">
        <v>80</v>
      </c>
      <c r="AB999" s="321"/>
      <c r="AC999" s="454" t="s">
        <v>3940</v>
      </c>
      <c r="AD999" s="454"/>
      <c r="AE999" s="454"/>
    </row>
    <row r="1000" spans="1:31">
      <c r="A1000" s="888"/>
      <c r="B1000" s="323" t="s">
        <v>145</v>
      </c>
      <c r="C1000" s="114"/>
      <c r="D1000" s="78" t="s">
        <v>92</v>
      </c>
      <c r="E1000" s="78"/>
      <c r="F1000" s="78"/>
      <c r="G1000" s="78"/>
      <c r="H1000" s="8" t="s">
        <v>148</v>
      </c>
      <c r="I1000" s="8" t="s">
        <v>34</v>
      </c>
      <c r="J1000" s="16" t="s">
        <v>3941</v>
      </c>
      <c r="K1000" s="8"/>
      <c r="L1000" s="78">
        <v>14</v>
      </c>
      <c r="M1000" s="394">
        <f>IFERROR(EDATE(N1000,-3),"Invalid procurement method or date entered")</f>
        <v>43770</v>
      </c>
      <c r="N1000" s="346">
        <f t="shared" si="7"/>
        <v>43862</v>
      </c>
      <c r="O1000" s="328">
        <v>44287</v>
      </c>
      <c r="P1000" s="43">
        <v>60</v>
      </c>
      <c r="Q1000" s="43" t="s">
        <v>162</v>
      </c>
      <c r="R1000" s="153">
        <v>1500000</v>
      </c>
      <c r="S1000" s="153" t="s">
        <v>607</v>
      </c>
      <c r="T1000" s="319" t="s">
        <v>35</v>
      </c>
      <c r="U1000" s="319" t="s">
        <v>35</v>
      </c>
      <c r="V1000" s="319"/>
      <c r="W1000" s="8" t="s">
        <v>556</v>
      </c>
      <c r="X1000" s="95" t="s">
        <v>254</v>
      </c>
      <c r="Y1000" s="95" t="s">
        <v>39</v>
      </c>
      <c r="Z1000" s="95"/>
      <c r="AA1000" s="369" t="s">
        <v>40</v>
      </c>
      <c r="AB1000" s="843" t="s">
        <v>54</v>
      </c>
      <c r="AC1000" s="390">
        <v>44243</v>
      </c>
      <c r="AD1000" s="390"/>
      <c r="AE1000" s="390"/>
    </row>
    <row r="1001" spans="1:31" ht="43.2">
      <c r="A1001" s="888"/>
      <c r="B1001" s="194" t="s">
        <v>145</v>
      </c>
      <c r="C1001" s="194" t="s">
        <v>35</v>
      </c>
      <c r="D1001" s="8" t="s">
        <v>82</v>
      </c>
      <c r="E1001" s="8"/>
      <c r="F1001" s="8"/>
      <c r="G1001" s="8"/>
      <c r="H1001" s="16" t="s">
        <v>148</v>
      </c>
      <c r="I1001" s="16" t="s">
        <v>64</v>
      </c>
      <c r="J1001" s="16" t="s">
        <v>802</v>
      </c>
      <c r="K1001" s="8"/>
      <c r="L1001" s="5">
        <v>14</v>
      </c>
      <c r="M1001" s="193">
        <f>IFERROR(EDATE(N1001,-3),"Invalid procurement method or date entered")</f>
        <v>43770</v>
      </c>
      <c r="N1001" s="143">
        <f t="shared" si="7"/>
        <v>43862</v>
      </c>
      <c r="O1001" s="328">
        <v>44287</v>
      </c>
      <c r="P1001" s="330">
        <v>72</v>
      </c>
      <c r="Q1001" s="774" t="s">
        <v>3942</v>
      </c>
      <c r="R1001" s="153">
        <v>6000000</v>
      </c>
      <c r="S1001" s="153" t="s">
        <v>607</v>
      </c>
      <c r="T1001" s="812" t="s">
        <v>54</v>
      </c>
      <c r="U1001" s="355" t="s">
        <v>43</v>
      </c>
      <c r="V1001" s="355"/>
      <c r="W1001" s="8" t="s">
        <v>3943</v>
      </c>
      <c r="X1001" s="105" t="s">
        <v>428</v>
      </c>
      <c r="Y1001" s="105" t="s">
        <v>457</v>
      </c>
      <c r="Z1001" s="105"/>
      <c r="AA1001" s="836" t="s">
        <v>80</v>
      </c>
      <c r="AB1001" s="839" t="s">
        <v>41</v>
      </c>
      <c r="AC1001" s="447">
        <v>44726</v>
      </c>
      <c r="AD1001" s="447"/>
      <c r="AE1001" s="447"/>
    </row>
    <row r="1002" spans="1:31" ht="86.4">
      <c r="A1002" s="888"/>
      <c r="B1002" s="4"/>
      <c r="C1002" s="4" t="s">
        <v>975</v>
      </c>
      <c r="D1002" s="9" t="s">
        <v>29</v>
      </c>
      <c r="E1002" s="9"/>
      <c r="F1002" s="9"/>
      <c r="G1002" s="9"/>
      <c r="H1002" s="5" t="s">
        <v>119</v>
      </c>
      <c r="I1002" s="5" t="s">
        <v>34</v>
      </c>
      <c r="J1002" s="16" t="s">
        <v>3944</v>
      </c>
      <c r="K1002" s="8"/>
      <c r="L1002" s="5" t="e">
        <f>IF(OR(S1002=#REF!,S1002=#REF!,S1002=#REF!,S1002=#REF!,S1002=#REF!,S1002=#REF!,S1002=#REF!,S1002=#REF!),12,IF(OR(S1002=#REF!,S1002=#REF!,S1002=#REF!,S1002=#REF!,S1002=#REF!,S1002=#REF!,S1002=#REF!),3,IF(S1002=#REF!,1,IF(S1002=#REF!,18,IF(OR(S1002=#REF!,S1002=#REF!,S1002=#REF!,S1002=#REF!,S1002=#REF!),14,"Invalid proposed procurement method")))))</f>
        <v>#REF!</v>
      </c>
      <c r="M1002" s="193" t="str">
        <f>IFERROR(EDATE($N1002,-3),"Invalid procurement method or date entered")</f>
        <v>Invalid procurement method or date entered</v>
      </c>
      <c r="N1002" s="193" t="str">
        <f t="shared" si="7"/>
        <v>Invalid procurement method or date entered</v>
      </c>
      <c r="O1002" s="193">
        <v>44287</v>
      </c>
      <c r="P1002" s="5">
        <v>36</v>
      </c>
      <c r="Q1002" s="5" t="s">
        <v>3945</v>
      </c>
      <c r="R1002" s="5">
        <v>60000</v>
      </c>
      <c r="S1002" s="5" t="s">
        <v>163</v>
      </c>
      <c r="T1002" s="47" t="s">
        <v>36</v>
      </c>
      <c r="U1002" s="45" t="s">
        <v>43</v>
      </c>
      <c r="V1002" s="45"/>
      <c r="W1002" s="5" t="s">
        <v>3946</v>
      </c>
      <c r="X1002" s="74" t="s">
        <v>90</v>
      </c>
      <c r="Y1002" s="74" t="s">
        <v>39</v>
      </c>
      <c r="Z1002" s="74"/>
      <c r="AA1002" s="74" t="s">
        <v>41</v>
      </c>
      <c r="AB1002" s="316" t="s">
        <v>1082</v>
      </c>
      <c r="AC1002" s="95" t="s">
        <v>3757</v>
      </c>
      <c r="AD1002" s="70" t="s">
        <v>133</v>
      </c>
      <c r="AE1002" s="204">
        <v>20000</v>
      </c>
    </row>
    <row r="1003" spans="1:31" ht="72">
      <c r="A1003" s="888"/>
      <c r="B1003" s="305"/>
      <c r="C1003" s="4" t="s">
        <v>3947</v>
      </c>
      <c r="D1003" s="9" t="s">
        <v>29</v>
      </c>
      <c r="E1003" s="9"/>
      <c r="F1003" s="9"/>
      <c r="G1003" s="9"/>
      <c r="H1003" s="9" t="s">
        <v>311</v>
      </c>
      <c r="I1003" s="9" t="s">
        <v>34</v>
      </c>
      <c r="J1003" s="16" t="s">
        <v>312</v>
      </c>
      <c r="K1003" s="8"/>
      <c r="L1003" s="5" t="e">
        <f>IF(OR(S1003=#REF!,S1003=#REF!,S1003=#REF!,S1003=#REF!,S1003=#REF!,S1003=#REF!,S1003=#REF!,S1003=#REF!),12,IF(OR(S1003=#REF!,S1003=#REF!,S1003=#REF!,S1003=#REF!,S1003=#REF!,S1003=#REF!,S1003=#REF!),3,IF(S1003=#REF!,1,IF(S1003=#REF!,18,IF(OR(S1003=#REF!,S1003=#REF!,S1003=#REF!,S1003=#REF!,S1003=#REF!),14,"Invalid proposed procurement method")))))</f>
        <v>#REF!</v>
      </c>
      <c r="M1003" s="193" t="str">
        <f>IFERROR(EDATE($N1003,-3),"Invalid procurement method or date entered")</f>
        <v>Invalid procurement method or date entered</v>
      </c>
      <c r="N1003" s="193" t="str">
        <f t="shared" si="7"/>
        <v>Invalid procurement method or date entered</v>
      </c>
      <c r="O1003" s="177">
        <v>44287</v>
      </c>
      <c r="P1003" s="9">
        <v>24</v>
      </c>
      <c r="Q1003" s="258" t="s">
        <v>365</v>
      </c>
      <c r="R1003" s="18">
        <v>76000</v>
      </c>
      <c r="S1003" s="5" t="s">
        <v>109</v>
      </c>
      <c r="T1003" s="49" t="s">
        <v>36</v>
      </c>
      <c r="U1003" s="45" t="s">
        <v>37</v>
      </c>
      <c r="V1003" s="45"/>
      <c r="W1003" s="9" t="s">
        <v>2767</v>
      </c>
      <c r="X1003" s="819" t="s">
        <v>90</v>
      </c>
      <c r="Y1003" s="74" t="s">
        <v>39</v>
      </c>
      <c r="Z1003" s="74"/>
      <c r="AA1003" s="74" t="s">
        <v>54</v>
      </c>
      <c r="AB1003" s="316" t="s">
        <v>1250</v>
      </c>
      <c r="AC1003" s="747" t="s">
        <v>3948</v>
      </c>
      <c r="AD1003" s="70" t="s">
        <v>313</v>
      </c>
      <c r="AE1003" s="864">
        <v>38000</v>
      </c>
    </row>
    <row r="1004" spans="1:31" ht="86.4">
      <c r="A1004" s="888"/>
      <c r="B1004" s="323" t="s">
        <v>145</v>
      </c>
      <c r="C1004" s="368"/>
      <c r="D1004" s="360" t="s">
        <v>92</v>
      </c>
      <c r="E1004" s="360"/>
      <c r="F1004" s="360"/>
      <c r="G1004" s="360"/>
      <c r="H1004" s="360" t="s">
        <v>148</v>
      </c>
      <c r="I1004" s="360" t="s">
        <v>64</v>
      </c>
      <c r="J1004" s="1029" t="s">
        <v>768</v>
      </c>
      <c r="K1004" s="360"/>
      <c r="L1004" s="374">
        <v>12</v>
      </c>
      <c r="M1004" s="379">
        <f t="shared" ref="M1004:M1012" si="8">IFERROR(EDATE(N1004,-3),"Invalid procurement method or date entered")</f>
        <v>43831</v>
      </c>
      <c r="N1004" s="375">
        <f t="shared" si="7"/>
        <v>43922</v>
      </c>
      <c r="O1004" s="335">
        <v>44287</v>
      </c>
      <c r="P1004" s="407">
        <v>60</v>
      </c>
      <c r="Q1004" s="408" t="s">
        <v>358</v>
      </c>
      <c r="R1004" s="362">
        <v>3800000</v>
      </c>
      <c r="S1004" s="362" t="s">
        <v>66</v>
      </c>
      <c r="T1004" s="363" t="s">
        <v>35</v>
      </c>
      <c r="U1004" s="363"/>
      <c r="V1004" s="363"/>
      <c r="W1004" s="360" t="s">
        <v>3949</v>
      </c>
      <c r="X1004" s="369" t="s">
        <v>428</v>
      </c>
      <c r="Y1004" s="369" t="s">
        <v>39</v>
      </c>
      <c r="Z1004" s="369"/>
      <c r="AA1004" s="832" t="s">
        <v>41</v>
      </c>
      <c r="AB1004" s="452">
        <v>44148</v>
      </c>
      <c r="AC1004" s="367" t="s">
        <v>3950</v>
      </c>
      <c r="AD1004" s="367"/>
      <c r="AE1004" s="367"/>
    </row>
    <row r="1005" spans="1:31" ht="86.4">
      <c r="A1005" s="888"/>
      <c r="B1005" s="323" t="s">
        <v>145</v>
      </c>
      <c r="C1005" s="323"/>
      <c r="D1005" s="8" t="s">
        <v>82</v>
      </c>
      <c r="E1005" s="8"/>
      <c r="F1005" s="8"/>
      <c r="G1005" s="8"/>
      <c r="H1005" s="8" t="s">
        <v>316</v>
      </c>
      <c r="I1005" s="8" t="s">
        <v>64</v>
      </c>
      <c r="J1005" s="60" t="s">
        <v>1259</v>
      </c>
      <c r="K1005" s="6"/>
      <c r="L1005" s="78">
        <v>12</v>
      </c>
      <c r="M1005" s="394">
        <f t="shared" si="8"/>
        <v>43831</v>
      </c>
      <c r="N1005" s="346">
        <f t="shared" si="7"/>
        <v>43922</v>
      </c>
      <c r="O1005" s="328">
        <v>44287</v>
      </c>
      <c r="P1005" s="330">
        <v>36</v>
      </c>
      <c r="Q1005" s="330" t="s">
        <v>318</v>
      </c>
      <c r="R1005" s="333">
        <v>582900</v>
      </c>
      <c r="S1005" s="153" t="s">
        <v>66</v>
      </c>
      <c r="T1005" s="809" t="s">
        <v>54</v>
      </c>
      <c r="U1005" s="334" t="s">
        <v>3951</v>
      </c>
      <c r="V1005" s="334"/>
      <c r="W1005" s="8" t="s">
        <v>1260</v>
      </c>
      <c r="X1005" s="95" t="s">
        <v>428</v>
      </c>
      <c r="Y1005" s="95" t="s">
        <v>457</v>
      </c>
      <c r="Z1005" s="95"/>
      <c r="AA1005" s="834"/>
      <c r="AB1005" s="837" t="s">
        <v>41</v>
      </c>
      <c r="AC1005" s="387" t="s">
        <v>3952</v>
      </c>
      <c r="AD1005" s="387"/>
      <c r="AE1005" s="387"/>
    </row>
    <row r="1006" spans="1:31" ht="28.8">
      <c r="A1006" s="888"/>
      <c r="B1006" s="323" t="s">
        <v>145</v>
      </c>
      <c r="C1006" s="323"/>
      <c r="D1006" s="8" t="s">
        <v>92</v>
      </c>
      <c r="E1006" s="8"/>
      <c r="F1006" s="8"/>
      <c r="G1006" s="8"/>
      <c r="H1006" s="8" t="s">
        <v>148</v>
      </c>
      <c r="I1006" s="8" t="s">
        <v>34</v>
      </c>
      <c r="J1006" s="16" t="s">
        <v>3953</v>
      </c>
      <c r="K1006" s="8"/>
      <c r="L1006" s="78">
        <v>12</v>
      </c>
      <c r="M1006" s="394">
        <f t="shared" si="8"/>
        <v>43831</v>
      </c>
      <c r="N1006" s="346">
        <f t="shared" si="7"/>
        <v>43922</v>
      </c>
      <c r="O1006" s="328">
        <v>44287</v>
      </c>
      <c r="P1006" s="66">
        <v>24</v>
      </c>
      <c r="Q1006" s="66">
        <v>24</v>
      </c>
      <c r="R1006" s="153">
        <v>160000</v>
      </c>
      <c r="S1006" s="5" t="s">
        <v>163</v>
      </c>
      <c r="T1006" s="326" t="s">
        <v>54</v>
      </c>
      <c r="U1006" s="326" t="s">
        <v>43</v>
      </c>
      <c r="V1006" s="326"/>
      <c r="W1006" s="8" t="s">
        <v>3543</v>
      </c>
      <c r="X1006" s="95" t="s">
        <v>428</v>
      </c>
      <c r="Y1006" s="95" t="s">
        <v>457</v>
      </c>
      <c r="Z1006" s="95"/>
      <c r="AA1006" s="95" t="s">
        <v>40</v>
      </c>
      <c r="AB1006" s="837" t="s">
        <v>41</v>
      </c>
      <c r="AC1006" s="95" t="s">
        <v>2813</v>
      </c>
      <c r="AD1006" s="95"/>
      <c r="AE1006" s="95"/>
    </row>
    <row r="1007" spans="1:31" ht="86.4">
      <c r="A1007" s="888"/>
      <c r="B1007" s="323" t="s">
        <v>145</v>
      </c>
      <c r="C1007" s="323"/>
      <c r="D1007" s="8" t="s">
        <v>718</v>
      </c>
      <c r="E1007" s="8"/>
      <c r="F1007" s="8"/>
      <c r="G1007" s="8"/>
      <c r="H1007" s="8" t="s">
        <v>148</v>
      </c>
      <c r="I1007" s="8" t="s">
        <v>64</v>
      </c>
      <c r="J1007" s="16" t="s">
        <v>3954</v>
      </c>
      <c r="K1007" s="8"/>
      <c r="L1007" s="78">
        <v>12</v>
      </c>
      <c r="M1007" s="394">
        <f t="shared" si="8"/>
        <v>43831</v>
      </c>
      <c r="N1007" s="346">
        <f t="shared" si="7"/>
        <v>43922</v>
      </c>
      <c r="O1007" s="328">
        <v>44287</v>
      </c>
      <c r="P1007" s="66">
        <v>60</v>
      </c>
      <c r="Q1007" s="66" t="s">
        <v>162</v>
      </c>
      <c r="R1007" s="153">
        <v>558885</v>
      </c>
      <c r="S1007" s="153" t="s">
        <v>66</v>
      </c>
      <c r="T1007" s="326" t="s">
        <v>41</v>
      </c>
      <c r="U1007" s="326" t="s">
        <v>3955</v>
      </c>
      <c r="V1007" s="326"/>
      <c r="W1007" s="8" t="s">
        <v>3956</v>
      </c>
      <c r="X1007" s="95" t="s">
        <v>428</v>
      </c>
      <c r="Y1007" s="95" t="s">
        <v>457</v>
      </c>
      <c r="Z1007" s="95"/>
      <c r="AA1007" s="95" t="s">
        <v>80</v>
      </c>
      <c r="AB1007" s="837" t="s">
        <v>41</v>
      </c>
      <c r="AC1007" s="390">
        <v>44321</v>
      </c>
      <c r="AD1007" s="390"/>
      <c r="AE1007" s="390"/>
    </row>
    <row r="1008" spans="1:31" ht="43.2">
      <c r="A1008" s="888"/>
      <c r="B1008" s="323" t="s">
        <v>145</v>
      </c>
      <c r="C1008" s="323"/>
      <c r="D1008" s="8" t="s">
        <v>92</v>
      </c>
      <c r="E1008" s="8"/>
      <c r="F1008" s="8"/>
      <c r="G1008" s="8"/>
      <c r="H1008" s="8" t="s">
        <v>148</v>
      </c>
      <c r="I1008" s="8" t="s">
        <v>64</v>
      </c>
      <c r="J1008" s="16" t="s">
        <v>711</v>
      </c>
      <c r="K1008" s="8"/>
      <c r="L1008" s="78">
        <v>12</v>
      </c>
      <c r="M1008" s="394">
        <f t="shared" si="8"/>
        <v>43831</v>
      </c>
      <c r="N1008" s="346">
        <f t="shared" si="7"/>
        <v>43922</v>
      </c>
      <c r="O1008" s="328">
        <v>44287</v>
      </c>
      <c r="P1008" s="66">
        <v>48</v>
      </c>
      <c r="Q1008" s="66" t="s">
        <v>191</v>
      </c>
      <c r="R1008" s="153">
        <v>1233471.8</v>
      </c>
      <c r="S1008" s="153" t="s">
        <v>66</v>
      </c>
      <c r="T1008" s="326" t="s">
        <v>54</v>
      </c>
      <c r="U1008" s="326"/>
      <c r="V1008" s="326"/>
      <c r="W1008" s="8" t="s">
        <v>3957</v>
      </c>
      <c r="X1008" s="95" t="s">
        <v>428</v>
      </c>
      <c r="Y1008" s="95" t="s">
        <v>457</v>
      </c>
      <c r="Z1008" s="95"/>
      <c r="AA1008" s="95" t="s">
        <v>80</v>
      </c>
      <c r="AB1008" s="837" t="s">
        <v>41</v>
      </c>
      <c r="AC1008" s="390">
        <v>44361</v>
      </c>
      <c r="AD1008" s="390"/>
      <c r="AE1008" s="390"/>
    </row>
    <row r="1009" spans="1:31" ht="28.8">
      <c r="A1009" s="887"/>
      <c r="B1009" s="323" t="s">
        <v>145</v>
      </c>
      <c r="C1009" s="323"/>
      <c r="D1009" s="8" t="s">
        <v>92</v>
      </c>
      <c r="E1009" s="8"/>
      <c r="F1009" s="8"/>
      <c r="G1009" s="8"/>
      <c r="H1009" s="8" t="s">
        <v>148</v>
      </c>
      <c r="I1009" s="8" t="s">
        <v>64</v>
      </c>
      <c r="J1009" s="16" t="s">
        <v>657</v>
      </c>
      <c r="K1009" s="8"/>
      <c r="L1009" s="78">
        <v>12</v>
      </c>
      <c r="M1009" s="394">
        <f t="shared" si="8"/>
        <v>43831</v>
      </c>
      <c r="N1009" s="346">
        <f t="shared" si="7"/>
        <v>43922</v>
      </c>
      <c r="O1009" s="328">
        <v>44287</v>
      </c>
      <c r="P1009" s="66">
        <v>60</v>
      </c>
      <c r="Q1009" s="66" t="s">
        <v>162</v>
      </c>
      <c r="R1009" s="153">
        <v>968000</v>
      </c>
      <c r="S1009" s="153" t="s">
        <v>66</v>
      </c>
      <c r="T1009" s="326" t="s">
        <v>54</v>
      </c>
      <c r="U1009" s="326"/>
      <c r="V1009" s="326"/>
      <c r="W1009" s="8" t="s">
        <v>1369</v>
      </c>
      <c r="X1009" s="95" t="s">
        <v>428</v>
      </c>
      <c r="Y1009" s="95" t="s">
        <v>457</v>
      </c>
      <c r="Z1009" s="95"/>
      <c r="AA1009" s="95" t="s">
        <v>80</v>
      </c>
      <c r="AB1009" s="837" t="s">
        <v>41</v>
      </c>
      <c r="AC1009" s="390">
        <v>44361</v>
      </c>
      <c r="AD1009" s="390"/>
      <c r="AE1009" s="390"/>
    </row>
    <row r="1010" spans="1:31" ht="28.8">
      <c r="A1010" s="888"/>
      <c r="B1010" s="323" t="s">
        <v>145</v>
      </c>
      <c r="C1010" s="323" t="s">
        <v>423</v>
      </c>
      <c r="D1010" s="78" t="s">
        <v>82</v>
      </c>
      <c r="E1010" s="78"/>
      <c r="F1010" s="78"/>
      <c r="G1010" s="78"/>
      <c r="H1010" s="78" t="s">
        <v>148</v>
      </c>
      <c r="I1010" s="78" t="s">
        <v>64</v>
      </c>
      <c r="J1010" s="1031" t="s">
        <v>424</v>
      </c>
      <c r="K1010" s="78"/>
      <c r="L1010" s="78">
        <v>12</v>
      </c>
      <c r="M1010" s="394">
        <f t="shared" si="8"/>
        <v>43831</v>
      </c>
      <c r="N1010" s="346">
        <f t="shared" si="7"/>
        <v>43922</v>
      </c>
      <c r="O1010" s="346">
        <v>44287</v>
      </c>
      <c r="P1010" s="415">
        <v>60</v>
      </c>
      <c r="Q1010" s="415" t="s">
        <v>425</v>
      </c>
      <c r="R1010" s="393">
        <v>165600</v>
      </c>
      <c r="S1010" s="393" t="s">
        <v>163</v>
      </c>
      <c r="T1010" s="811" t="s">
        <v>54</v>
      </c>
      <c r="U1010" s="416" t="s">
        <v>43</v>
      </c>
      <c r="V1010" s="416"/>
      <c r="W1010" s="78" t="s">
        <v>427</v>
      </c>
      <c r="X1010" s="451" t="s">
        <v>428</v>
      </c>
      <c r="Y1010" s="451" t="s">
        <v>457</v>
      </c>
      <c r="Z1010" s="451"/>
      <c r="AA1010" s="835" t="s">
        <v>40</v>
      </c>
      <c r="AB1010" s="837" t="s">
        <v>41</v>
      </c>
      <c r="AC1010" s="395">
        <v>44362</v>
      </c>
      <c r="AD1010" s="395"/>
      <c r="AE1010" s="395"/>
    </row>
    <row r="1011" spans="1:31" ht="28.8">
      <c r="A1011" s="852"/>
      <c r="B1011" s="323" t="s">
        <v>145</v>
      </c>
      <c r="C1011" s="323"/>
      <c r="D1011" s="8" t="s">
        <v>92</v>
      </c>
      <c r="E1011" s="8"/>
      <c r="F1011" s="8"/>
      <c r="G1011" s="8"/>
      <c r="H1011" s="8" t="s">
        <v>148</v>
      </c>
      <c r="I1011" s="8" t="s">
        <v>879</v>
      </c>
      <c r="J1011" s="16" t="s">
        <v>3541</v>
      </c>
      <c r="K1011" s="8"/>
      <c r="L1011" s="78">
        <v>12</v>
      </c>
      <c r="M1011" s="394">
        <f t="shared" si="8"/>
        <v>43831</v>
      </c>
      <c r="N1011" s="346">
        <f t="shared" si="7"/>
        <v>43922</v>
      </c>
      <c r="O1011" s="328">
        <v>44287</v>
      </c>
      <c r="P1011" s="66">
        <v>30</v>
      </c>
      <c r="Q1011" s="66" t="s">
        <v>125</v>
      </c>
      <c r="R1011" s="153">
        <v>39401</v>
      </c>
      <c r="S1011" s="153" t="s">
        <v>163</v>
      </c>
      <c r="T1011" s="326" t="s">
        <v>54</v>
      </c>
      <c r="U1011" s="326" t="s">
        <v>43</v>
      </c>
      <c r="V1011" s="326"/>
      <c r="W1011" s="277" t="s">
        <v>3958</v>
      </c>
      <c r="X1011" s="95" t="s">
        <v>1119</v>
      </c>
      <c r="Y1011" s="95" t="s">
        <v>59</v>
      </c>
      <c r="Z1011" s="95"/>
      <c r="AA1011" s="369" t="s">
        <v>40</v>
      </c>
      <c r="AB1011" s="837" t="s">
        <v>41</v>
      </c>
      <c r="AC1011" s="390"/>
      <c r="AD1011" s="390"/>
      <c r="AE1011" s="390"/>
    </row>
    <row r="1012" spans="1:31" ht="43.2">
      <c r="A1012" s="852"/>
      <c r="B1012" s="323" t="s">
        <v>145</v>
      </c>
      <c r="C1012" s="323" t="s">
        <v>35</v>
      </c>
      <c r="D1012" s="8" t="s">
        <v>92</v>
      </c>
      <c r="E1012" s="8"/>
      <c r="F1012" s="8"/>
      <c r="G1012" s="8"/>
      <c r="H1012" s="8" t="s">
        <v>266</v>
      </c>
      <c r="I1012" s="8" t="s">
        <v>64</v>
      </c>
      <c r="J1012" s="16" t="s">
        <v>839</v>
      </c>
      <c r="K1012" s="8"/>
      <c r="L1012" s="78">
        <v>12</v>
      </c>
      <c r="M1012" s="394">
        <f t="shared" si="8"/>
        <v>43831</v>
      </c>
      <c r="N1012" s="346">
        <f t="shared" si="7"/>
        <v>43922</v>
      </c>
      <c r="O1012" s="328">
        <v>44287</v>
      </c>
      <c r="P1012" s="66">
        <v>72</v>
      </c>
      <c r="Q1012" s="66" t="s">
        <v>3959</v>
      </c>
      <c r="R1012" s="153">
        <v>25252489</v>
      </c>
      <c r="S1012" s="153" t="s">
        <v>66</v>
      </c>
      <c r="T1012" s="326" t="s">
        <v>41</v>
      </c>
      <c r="U1012" s="348" t="s">
        <v>841</v>
      </c>
      <c r="V1012" s="348"/>
      <c r="W1012" s="8" t="s">
        <v>842</v>
      </c>
      <c r="X1012" s="95" t="s">
        <v>428</v>
      </c>
      <c r="Y1012" s="95" t="s">
        <v>179</v>
      </c>
      <c r="Z1012" s="95"/>
      <c r="AA1012" s="369" t="s">
        <v>80</v>
      </c>
      <c r="AB1012" s="837" t="s">
        <v>41</v>
      </c>
      <c r="AC1012" s="390">
        <v>44305</v>
      </c>
      <c r="AD1012" s="390"/>
      <c r="AE1012" s="390"/>
    </row>
    <row r="1013" spans="1:31" ht="43.2">
      <c r="A1013" s="888"/>
      <c r="B1013" s="168"/>
      <c r="C1013" s="4"/>
      <c r="D1013" s="9" t="s">
        <v>29</v>
      </c>
      <c r="E1013" s="9"/>
      <c r="F1013" s="9"/>
      <c r="G1013" s="9"/>
      <c r="H1013" s="5" t="s">
        <v>70</v>
      </c>
      <c r="I1013" s="9" t="s">
        <v>64</v>
      </c>
      <c r="J1013" s="16" t="s">
        <v>3960</v>
      </c>
      <c r="K1013" s="16"/>
      <c r="L1013" s="16"/>
      <c r="M1013" s="193">
        <v>43922</v>
      </c>
      <c r="N1013" s="193"/>
      <c r="O1013" s="46">
        <v>44287</v>
      </c>
      <c r="P1013" s="15">
        <v>42</v>
      </c>
      <c r="Q1013" s="15" t="s">
        <v>3961</v>
      </c>
      <c r="R1013" s="18">
        <v>55000</v>
      </c>
      <c r="S1013" s="5" t="s">
        <v>66</v>
      </c>
      <c r="T1013" s="5" t="s">
        <v>54</v>
      </c>
      <c r="U1013" s="12" t="s">
        <v>43</v>
      </c>
      <c r="V1013" s="12"/>
      <c r="W1013" s="9" t="s">
        <v>3962</v>
      </c>
      <c r="X1013" s="74" t="s">
        <v>90</v>
      </c>
      <c r="Y1013" s="74" t="s">
        <v>457</v>
      </c>
      <c r="Z1013" s="74"/>
      <c r="AA1013" s="819"/>
      <c r="AB1013" s="316" t="s">
        <v>3429</v>
      </c>
      <c r="AC1013" s="747" t="s">
        <v>3963</v>
      </c>
      <c r="AD1013" s="70" t="s">
        <v>654</v>
      </c>
      <c r="AE1013" s="863">
        <v>15000</v>
      </c>
    </row>
    <row r="1014" spans="1:31" ht="72">
      <c r="A1014" s="895"/>
      <c r="B1014" s="4"/>
      <c r="C1014" s="4" t="s">
        <v>3964</v>
      </c>
      <c r="D1014" s="9" t="s">
        <v>29</v>
      </c>
      <c r="E1014" s="9"/>
      <c r="F1014" s="9"/>
      <c r="G1014" s="9"/>
      <c r="H1014" s="5" t="s">
        <v>119</v>
      </c>
      <c r="I1014" s="5" t="s">
        <v>34</v>
      </c>
      <c r="J1014" s="16" t="s">
        <v>3111</v>
      </c>
      <c r="K1014" s="8"/>
      <c r="L1014" s="5" t="e">
        <f>IF(OR(S1014=#REF!,S1014=#REF!,S1014=#REF!,S1014=#REF!,S1014=#REF!,S1014=#REF!,S1014=#REF!,S1014=#REF!),12,IF(OR(S1014=#REF!,S1014=#REF!,S1014=#REF!,S1014=#REF!,S1014=#REF!,S1014=#REF!,S1014=#REF!),3,IF(S1014=#REF!,1,IF(S1014=#REF!,18,IF(OR(S1014=#REF!,S1014=#REF!,S1014=#REF!,S1014=#REF!,S1014=#REF!),14,"Invalid proposed procurement method")))))</f>
        <v>#REF!</v>
      </c>
      <c r="M1014" s="193" t="str">
        <f>IFERROR(EDATE($N1014,-3),"Invalid procurement method or date entered")</f>
        <v>Invalid procurement method or date entered</v>
      </c>
      <c r="N1014" s="193" t="str">
        <f>IFERROR(EDATE(O1014,-L1014),"Invalid procurement method or date entered")</f>
        <v>Invalid procurement method or date entered</v>
      </c>
      <c r="O1014" s="193">
        <v>44287</v>
      </c>
      <c r="P1014" s="5">
        <v>36</v>
      </c>
      <c r="Q1014" s="5" t="s">
        <v>3945</v>
      </c>
      <c r="R1014" s="18">
        <v>150000</v>
      </c>
      <c r="S1014" s="5" t="s">
        <v>173</v>
      </c>
      <c r="T1014" s="47" t="s">
        <v>36</v>
      </c>
      <c r="U1014" s="45" t="s">
        <v>43</v>
      </c>
      <c r="V1014" s="45"/>
      <c r="W1014" s="5" t="s">
        <v>3965</v>
      </c>
      <c r="X1014" s="74" t="s">
        <v>90</v>
      </c>
      <c r="Y1014" s="74" t="s">
        <v>39</v>
      </c>
      <c r="Z1014" s="74"/>
      <c r="AA1014" s="74" t="s">
        <v>41</v>
      </c>
      <c r="AB1014" s="316" t="s">
        <v>1250</v>
      </c>
      <c r="AC1014" s="95" t="s">
        <v>3966</v>
      </c>
      <c r="AD1014" s="70" t="s">
        <v>416</v>
      </c>
      <c r="AE1014" s="204" t="s">
        <v>953</v>
      </c>
    </row>
    <row r="1015" spans="1:31" ht="52.8">
      <c r="A1015" s="852"/>
      <c r="B1015" s="520" t="s">
        <v>48</v>
      </c>
      <c r="C1015" s="465" t="s">
        <v>2090</v>
      </c>
      <c r="D1015" s="466" t="s">
        <v>29</v>
      </c>
      <c r="E1015" s="466"/>
      <c r="F1015" s="466"/>
      <c r="G1015" s="466"/>
      <c r="H1015" s="466" t="s">
        <v>165</v>
      </c>
      <c r="I1015" s="474" t="s">
        <v>34</v>
      </c>
      <c r="J1015" s="1024" t="s">
        <v>2091</v>
      </c>
      <c r="K1015" s="467"/>
      <c r="L1015" s="470">
        <v>43709</v>
      </c>
      <c r="M1015" s="470"/>
      <c r="N1015" s="470"/>
      <c r="O1015" s="470">
        <v>44287</v>
      </c>
      <c r="P1015" s="471">
        <v>48</v>
      </c>
      <c r="Q1015" s="471">
        <v>48</v>
      </c>
      <c r="R1015" s="542">
        <f>2476667*4</f>
        <v>9906668</v>
      </c>
      <c r="S1015" s="470" t="s">
        <v>2092</v>
      </c>
      <c r="T1015" s="470" t="s">
        <v>144</v>
      </c>
      <c r="U1015" s="470">
        <v>44014</v>
      </c>
      <c r="V1015" s="470"/>
      <c r="W1015" s="474" t="s">
        <v>756</v>
      </c>
    </row>
    <row r="1016" spans="1:31" ht="66">
      <c r="A1016" s="852"/>
      <c r="B1016" s="520" t="s">
        <v>48</v>
      </c>
      <c r="C1016" s="465" t="s">
        <v>125</v>
      </c>
      <c r="D1016" s="466" t="s">
        <v>60</v>
      </c>
      <c r="E1016" s="466"/>
      <c r="F1016" s="466"/>
      <c r="G1016" s="466"/>
      <c r="H1016" s="466" t="s">
        <v>127</v>
      </c>
      <c r="I1016" s="474" t="s">
        <v>34</v>
      </c>
      <c r="J1016" s="1024" t="s">
        <v>2164</v>
      </c>
      <c r="K1016" s="467"/>
      <c r="L1016" s="467"/>
      <c r="M1016" s="466">
        <v>14</v>
      </c>
      <c r="N1016" s="469" t="str">
        <f>IF(O1016="tbc","",(IFERROR(EDATE(#REF!,-3),"Invalid procurement method or date entered")))</f>
        <v>Invalid procurement method or date entered</v>
      </c>
      <c r="O1016" s="470">
        <v>44287</v>
      </c>
      <c r="P1016" s="471" t="s">
        <v>125</v>
      </c>
      <c r="Q1016" s="471" t="s">
        <v>125</v>
      </c>
      <c r="R1016" s="483" t="s">
        <v>125</v>
      </c>
      <c r="S1016" s="470" t="s">
        <v>125</v>
      </c>
      <c r="T1016" s="470" t="s">
        <v>144</v>
      </c>
      <c r="U1016" s="470" t="s">
        <v>125</v>
      </c>
      <c r="V1016" s="470"/>
      <c r="W1016" s="474" t="s">
        <v>2165</v>
      </c>
    </row>
    <row r="1017" spans="1:31" ht="118.8">
      <c r="A1017" s="852"/>
      <c r="B1017" s="520" t="s">
        <v>48</v>
      </c>
      <c r="C1017" s="465" t="s">
        <v>125</v>
      </c>
      <c r="D1017" s="466" t="s">
        <v>60</v>
      </c>
      <c r="E1017" s="466"/>
      <c r="F1017" s="466"/>
      <c r="G1017" s="466"/>
      <c r="H1017" s="466" t="s">
        <v>127</v>
      </c>
      <c r="I1017" s="474" t="s">
        <v>34</v>
      </c>
      <c r="J1017" s="1024" t="s">
        <v>2166</v>
      </c>
      <c r="K1017" s="467"/>
      <c r="L1017" s="467"/>
      <c r="M1017" s="466">
        <v>14</v>
      </c>
      <c r="N1017" s="469" t="str">
        <f>IF(O1017="tbc","",(IFERROR(EDATE(#REF!,-3),"Invalid procurement method or date entered")))</f>
        <v>Invalid procurement method or date entered</v>
      </c>
      <c r="O1017" s="470">
        <v>44287</v>
      </c>
      <c r="P1017" s="471" t="s">
        <v>125</v>
      </c>
      <c r="Q1017" s="471" t="s">
        <v>125</v>
      </c>
      <c r="R1017" s="483" t="s">
        <v>125</v>
      </c>
      <c r="S1017" s="470" t="s">
        <v>125</v>
      </c>
      <c r="T1017" s="470" t="s">
        <v>144</v>
      </c>
      <c r="U1017" s="470" t="s">
        <v>125</v>
      </c>
      <c r="V1017" s="470"/>
      <c r="W1017" s="474" t="s">
        <v>2167</v>
      </c>
    </row>
    <row r="1018" spans="1:31" ht="66">
      <c r="A1018" s="852"/>
      <c r="B1018" s="520" t="s">
        <v>48</v>
      </c>
      <c r="C1018" s="465" t="s">
        <v>125</v>
      </c>
      <c r="D1018" s="466" t="s">
        <v>60</v>
      </c>
      <c r="E1018" s="466"/>
      <c r="F1018" s="466"/>
      <c r="G1018" s="466"/>
      <c r="H1018" s="466" t="s">
        <v>127</v>
      </c>
      <c r="I1018" s="474" t="s">
        <v>34</v>
      </c>
      <c r="J1018" s="1024" t="s">
        <v>2168</v>
      </c>
      <c r="K1018" s="467"/>
      <c r="L1018" s="467"/>
      <c r="M1018" s="466">
        <v>14</v>
      </c>
      <c r="N1018" s="469" t="str">
        <f>IF(O1018="tbc","",(IFERROR(EDATE(#REF!,-3),"Invalid procurement method or date entered")))</f>
        <v>Invalid procurement method or date entered</v>
      </c>
      <c r="O1018" s="470">
        <v>44287</v>
      </c>
      <c r="P1018" s="471" t="s">
        <v>125</v>
      </c>
      <c r="Q1018" s="471" t="s">
        <v>125</v>
      </c>
      <c r="R1018" s="483" t="s">
        <v>125</v>
      </c>
      <c r="S1018" s="470" t="s">
        <v>125</v>
      </c>
      <c r="T1018" s="470" t="s">
        <v>144</v>
      </c>
      <c r="U1018" s="470" t="s">
        <v>125</v>
      </c>
      <c r="V1018" s="470"/>
      <c r="W1018" s="474" t="s">
        <v>2169</v>
      </c>
    </row>
    <row r="1019" spans="1:31" ht="66">
      <c r="A1019" s="852"/>
      <c r="B1019" s="520" t="s">
        <v>48</v>
      </c>
      <c r="C1019" s="465" t="s">
        <v>125</v>
      </c>
      <c r="D1019" s="466" t="s">
        <v>60</v>
      </c>
      <c r="E1019" s="466"/>
      <c r="F1019" s="466"/>
      <c r="G1019" s="466"/>
      <c r="H1019" s="466" t="s">
        <v>127</v>
      </c>
      <c r="I1019" s="474" t="s">
        <v>34</v>
      </c>
      <c r="J1019" s="1024" t="s">
        <v>2170</v>
      </c>
      <c r="K1019" s="467"/>
      <c r="L1019" s="467"/>
      <c r="M1019" s="466">
        <v>14</v>
      </c>
      <c r="N1019" s="469" t="str">
        <f>IF(O1019="tbc","",(IFERROR(EDATE(#REF!,-3),"Invalid procurement method or date entered")))</f>
        <v>Invalid procurement method or date entered</v>
      </c>
      <c r="O1019" s="470">
        <v>44287</v>
      </c>
      <c r="P1019" s="471" t="s">
        <v>125</v>
      </c>
      <c r="Q1019" s="471" t="s">
        <v>125</v>
      </c>
      <c r="R1019" s="483" t="s">
        <v>125</v>
      </c>
      <c r="S1019" s="470" t="s">
        <v>125</v>
      </c>
      <c r="T1019" s="470" t="s">
        <v>144</v>
      </c>
      <c r="U1019" s="470" t="s">
        <v>125</v>
      </c>
      <c r="V1019" s="470"/>
      <c r="W1019" s="474" t="s">
        <v>2171</v>
      </c>
    </row>
    <row r="1020" spans="1:31" ht="118.8">
      <c r="A1020" s="852"/>
      <c r="B1020" s="520" t="s">
        <v>48</v>
      </c>
      <c r="C1020" s="465" t="s">
        <v>125</v>
      </c>
      <c r="D1020" s="466" t="s">
        <v>60</v>
      </c>
      <c r="E1020" s="466"/>
      <c r="F1020" s="466"/>
      <c r="G1020" s="466"/>
      <c r="H1020" s="466" t="s">
        <v>127</v>
      </c>
      <c r="I1020" s="474" t="s">
        <v>34</v>
      </c>
      <c r="J1020" s="1024" t="s">
        <v>2173</v>
      </c>
      <c r="K1020" s="467"/>
      <c r="L1020" s="467"/>
      <c r="M1020" s="466">
        <v>14</v>
      </c>
      <c r="N1020" s="469" t="str">
        <f>IF(O1020="tbc","",(IFERROR(EDATE(#REF!,-3),"Invalid procurement method or date entered")))</f>
        <v>Invalid procurement method or date entered</v>
      </c>
      <c r="O1020" s="470">
        <v>44287</v>
      </c>
      <c r="P1020" s="471" t="s">
        <v>125</v>
      </c>
      <c r="Q1020" s="471" t="s">
        <v>125</v>
      </c>
      <c r="R1020" s="483" t="s">
        <v>125</v>
      </c>
      <c r="S1020" s="470" t="s">
        <v>125</v>
      </c>
      <c r="T1020" s="470" t="s">
        <v>144</v>
      </c>
      <c r="U1020" s="470" t="s">
        <v>125</v>
      </c>
      <c r="V1020" s="470"/>
      <c r="W1020" s="474" t="s">
        <v>2174</v>
      </c>
    </row>
    <row r="1021" spans="1:31" ht="66">
      <c r="A1021" s="852"/>
      <c r="B1021" s="520" t="s">
        <v>48</v>
      </c>
      <c r="C1021" s="465" t="s">
        <v>125</v>
      </c>
      <c r="D1021" s="466" t="s">
        <v>60</v>
      </c>
      <c r="E1021" s="466"/>
      <c r="F1021" s="466"/>
      <c r="G1021" s="466"/>
      <c r="H1021" s="466" t="s">
        <v>127</v>
      </c>
      <c r="I1021" s="474" t="s">
        <v>34</v>
      </c>
      <c r="J1021" s="1024" t="s">
        <v>2176</v>
      </c>
      <c r="K1021" s="467"/>
      <c r="L1021" s="467"/>
      <c r="M1021" s="466">
        <v>14</v>
      </c>
      <c r="N1021" s="469" t="str">
        <f>IF(O1021="tbc","",(IFERROR(EDATE(#REF!,-3),"Invalid procurement method or date entered")))</f>
        <v>Invalid procurement method or date entered</v>
      </c>
      <c r="O1021" s="470">
        <v>44287</v>
      </c>
      <c r="P1021" s="471" t="s">
        <v>125</v>
      </c>
      <c r="Q1021" s="471" t="s">
        <v>125</v>
      </c>
      <c r="R1021" s="483" t="s">
        <v>125</v>
      </c>
      <c r="S1021" s="470" t="s">
        <v>125</v>
      </c>
      <c r="T1021" s="470" t="s">
        <v>144</v>
      </c>
      <c r="U1021" s="470" t="s">
        <v>125</v>
      </c>
      <c r="V1021" s="470"/>
      <c r="W1021" s="474" t="s">
        <v>2177</v>
      </c>
    </row>
    <row r="1022" spans="1:31" ht="66">
      <c r="A1022" s="852"/>
      <c r="B1022" s="520" t="s">
        <v>48</v>
      </c>
      <c r="C1022" s="465" t="s">
        <v>125</v>
      </c>
      <c r="D1022" s="466" t="s">
        <v>60</v>
      </c>
      <c r="E1022" s="466"/>
      <c r="F1022" s="466"/>
      <c r="G1022" s="466"/>
      <c r="H1022" s="466" t="s">
        <v>127</v>
      </c>
      <c r="I1022" s="474" t="s">
        <v>34</v>
      </c>
      <c r="J1022" s="1024" t="s">
        <v>2178</v>
      </c>
      <c r="K1022" s="467"/>
      <c r="L1022" s="467"/>
      <c r="M1022" s="466">
        <v>14</v>
      </c>
      <c r="N1022" s="469" t="str">
        <f>IF(O1022="tbc","",(IFERROR(EDATE(#REF!,-3),"Invalid procurement method or date entered")))</f>
        <v>Invalid procurement method or date entered</v>
      </c>
      <c r="O1022" s="470">
        <v>44287</v>
      </c>
      <c r="P1022" s="471" t="s">
        <v>125</v>
      </c>
      <c r="Q1022" s="471" t="s">
        <v>125</v>
      </c>
      <c r="R1022" s="483" t="s">
        <v>125</v>
      </c>
      <c r="S1022" s="470" t="s">
        <v>125</v>
      </c>
      <c r="T1022" s="470" t="s">
        <v>144</v>
      </c>
      <c r="U1022" s="470" t="s">
        <v>125</v>
      </c>
      <c r="V1022" s="470"/>
      <c r="W1022" s="474" t="s">
        <v>2165</v>
      </c>
    </row>
    <row r="1023" spans="1:31" ht="118.8">
      <c r="A1023" s="852"/>
      <c r="B1023" s="520" t="s">
        <v>48</v>
      </c>
      <c r="C1023" s="465" t="s">
        <v>125</v>
      </c>
      <c r="D1023" s="466" t="s">
        <v>60</v>
      </c>
      <c r="E1023" s="466"/>
      <c r="F1023" s="466"/>
      <c r="G1023" s="466"/>
      <c r="H1023" s="466" t="s">
        <v>127</v>
      </c>
      <c r="I1023" s="474" t="s">
        <v>34</v>
      </c>
      <c r="J1023" s="1024" t="s">
        <v>2179</v>
      </c>
      <c r="K1023" s="467"/>
      <c r="L1023" s="467"/>
      <c r="M1023" s="466">
        <v>14</v>
      </c>
      <c r="N1023" s="469" t="str">
        <f>IF(O1023="tbc","",(IFERROR(EDATE(#REF!,-3),"Invalid procurement method or date entered")))</f>
        <v>Invalid procurement method or date entered</v>
      </c>
      <c r="O1023" s="470">
        <v>44287</v>
      </c>
      <c r="P1023" s="471" t="s">
        <v>125</v>
      </c>
      <c r="Q1023" s="471" t="s">
        <v>125</v>
      </c>
      <c r="R1023" s="483" t="s">
        <v>125</v>
      </c>
      <c r="S1023" s="470" t="s">
        <v>186</v>
      </c>
      <c r="T1023" s="470" t="s">
        <v>144</v>
      </c>
      <c r="U1023" s="470" t="s">
        <v>125</v>
      </c>
      <c r="V1023" s="470"/>
      <c r="W1023" s="474" t="s">
        <v>2180</v>
      </c>
    </row>
    <row r="1024" spans="1:31" ht="66">
      <c r="A1024" s="852"/>
      <c r="B1024" s="520" t="s">
        <v>48</v>
      </c>
      <c r="C1024" s="465" t="s">
        <v>125</v>
      </c>
      <c r="D1024" s="466" t="s">
        <v>60</v>
      </c>
      <c r="E1024" s="466"/>
      <c r="F1024" s="466"/>
      <c r="G1024" s="466"/>
      <c r="H1024" s="466" t="s">
        <v>127</v>
      </c>
      <c r="I1024" s="474" t="s">
        <v>34</v>
      </c>
      <c r="J1024" s="1024" t="s">
        <v>2181</v>
      </c>
      <c r="K1024" s="467"/>
      <c r="L1024" s="467"/>
      <c r="M1024" s="466">
        <v>14</v>
      </c>
      <c r="N1024" s="469" t="str">
        <f>IF(O1024="tbc","",(IFERROR(EDATE(#REF!,-3),"Invalid procurement method or date entered")))</f>
        <v>Invalid procurement method or date entered</v>
      </c>
      <c r="O1024" s="470">
        <v>44287</v>
      </c>
      <c r="P1024" s="471" t="s">
        <v>125</v>
      </c>
      <c r="Q1024" s="471" t="s">
        <v>125</v>
      </c>
      <c r="R1024" s="483" t="s">
        <v>125</v>
      </c>
      <c r="S1024" s="470" t="s">
        <v>125</v>
      </c>
      <c r="T1024" s="470" t="s">
        <v>144</v>
      </c>
      <c r="U1024" s="470" t="s">
        <v>125</v>
      </c>
      <c r="V1024" s="470"/>
      <c r="W1024" s="474" t="s">
        <v>2182</v>
      </c>
    </row>
    <row r="1025" spans="1:32" ht="66">
      <c r="A1025" s="852"/>
      <c r="B1025" s="520" t="s">
        <v>48</v>
      </c>
      <c r="C1025" s="465" t="s">
        <v>125</v>
      </c>
      <c r="D1025" s="466" t="s">
        <v>60</v>
      </c>
      <c r="E1025" s="466"/>
      <c r="F1025" s="466"/>
      <c r="G1025" s="466"/>
      <c r="H1025" s="466" t="s">
        <v>127</v>
      </c>
      <c r="I1025" s="474" t="s">
        <v>34</v>
      </c>
      <c r="J1025" s="1024" t="s">
        <v>2185</v>
      </c>
      <c r="K1025" s="467"/>
      <c r="L1025" s="467"/>
      <c r="M1025" s="466">
        <v>14</v>
      </c>
      <c r="N1025" s="469" t="str">
        <f>IF(O1025="tbc","",(IFERROR(EDATE(#REF!,-3),"Invalid procurement method or date entered")))</f>
        <v>Invalid procurement method or date entered</v>
      </c>
      <c r="O1025" s="470">
        <v>44287</v>
      </c>
      <c r="P1025" s="471" t="s">
        <v>125</v>
      </c>
      <c r="Q1025" s="471" t="s">
        <v>125</v>
      </c>
      <c r="R1025" s="483" t="s">
        <v>125</v>
      </c>
      <c r="S1025" s="470" t="s">
        <v>125</v>
      </c>
      <c r="T1025" s="470" t="s">
        <v>144</v>
      </c>
      <c r="U1025" s="470" t="s">
        <v>125</v>
      </c>
      <c r="V1025" s="470"/>
      <c r="W1025" s="474" t="s">
        <v>2182</v>
      </c>
    </row>
    <row r="1026" spans="1:32" ht="66">
      <c r="A1026" s="852"/>
      <c r="B1026" s="520" t="s">
        <v>48</v>
      </c>
      <c r="C1026" s="465" t="s">
        <v>125</v>
      </c>
      <c r="D1026" s="466" t="s">
        <v>60</v>
      </c>
      <c r="E1026" s="466"/>
      <c r="F1026" s="466"/>
      <c r="G1026" s="466"/>
      <c r="H1026" s="466" t="s">
        <v>127</v>
      </c>
      <c r="I1026" s="474" t="s">
        <v>34</v>
      </c>
      <c r="J1026" s="1024" t="s">
        <v>2186</v>
      </c>
      <c r="K1026" s="467"/>
      <c r="L1026" s="467"/>
      <c r="M1026" s="466">
        <v>14</v>
      </c>
      <c r="N1026" s="469" t="str">
        <f>IF(O1026="tbc","",(IFERROR(EDATE(#REF!,-3),"Invalid procurement method or date entered")))</f>
        <v>Invalid procurement method or date entered</v>
      </c>
      <c r="O1026" s="470">
        <v>44287</v>
      </c>
      <c r="P1026" s="471" t="s">
        <v>125</v>
      </c>
      <c r="Q1026" s="471" t="s">
        <v>125</v>
      </c>
      <c r="R1026" s="483" t="s">
        <v>125</v>
      </c>
      <c r="S1026" s="470" t="s">
        <v>125</v>
      </c>
      <c r="T1026" s="470" t="s">
        <v>144</v>
      </c>
      <c r="U1026" s="470" t="s">
        <v>125</v>
      </c>
      <c r="V1026" s="470"/>
      <c r="W1026" s="474" t="s">
        <v>2187</v>
      </c>
    </row>
    <row r="1027" spans="1:32" ht="66">
      <c r="A1027" s="852"/>
      <c r="B1027" s="520" t="s">
        <v>48</v>
      </c>
      <c r="C1027" s="465" t="s">
        <v>2249</v>
      </c>
      <c r="D1027" s="466" t="s">
        <v>60</v>
      </c>
      <c r="E1027" s="466"/>
      <c r="F1027" s="466"/>
      <c r="G1027" s="466"/>
      <c r="H1027" s="466" t="s">
        <v>127</v>
      </c>
      <c r="I1027" s="474" t="s">
        <v>34</v>
      </c>
      <c r="J1027" s="549" t="s">
        <v>2250</v>
      </c>
      <c r="K1027" s="484"/>
      <c r="L1027" s="484"/>
      <c r="M1027" s="466">
        <v>12</v>
      </c>
      <c r="N1027" s="469" t="str">
        <f>IF(O1027="tbc","",(IFERROR(EDATE(#REF!,-3),"Invalid procurement method or date entered")))</f>
        <v>Invalid procurement method or date entered</v>
      </c>
      <c r="O1027" s="469">
        <v>44287</v>
      </c>
      <c r="P1027" s="491">
        <v>120</v>
      </c>
      <c r="Q1027" s="491" t="s">
        <v>2251</v>
      </c>
      <c r="R1027" s="493">
        <v>150000</v>
      </c>
      <c r="S1027" s="470" t="s">
        <v>173</v>
      </c>
      <c r="T1027" s="491" t="s">
        <v>36</v>
      </c>
      <c r="U1027" s="469" t="s">
        <v>125</v>
      </c>
      <c r="V1027" s="469"/>
      <c r="W1027" s="474" t="s">
        <v>2252</v>
      </c>
    </row>
    <row r="1028" spans="1:32" ht="105.6">
      <c r="A1028" s="852"/>
      <c r="B1028" s="520" t="s">
        <v>48</v>
      </c>
      <c r="C1028" s="465" t="s">
        <v>125</v>
      </c>
      <c r="D1028" s="466" t="s">
        <v>60</v>
      </c>
      <c r="E1028" s="466"/>
      <c r="F1028" s="466"/>
      <c r="G1028" s="466"/>
      <c r="H1028" s="466" t="s">
        <v>127</v>
      </c>
      <c r="I1028" s="474" t="s">
        <v>34</v>
      </c>
      <c r="J1028" s="1024" t="s">
        <v>2267</v>
      </c>
      <c r="K1028" s="467"/>
      <c r="L1028" s="467"/>
      <c r="M1028" s="466">
        <v>3</v>
      </c>
      <c r="N1028" s="469" t="str">
        <f>IF(O1028="tbc","",(IFERROR(EDATE(#REF!,-3),"Invalid procurement method or date entered")))</f>
        <v>Invalid procurement method or date entered</v>
      </c>
      <c r="O1028" s="470">
        <v>44287</v>
      </c>
      <c r="P1028" s="471" t="s">
        <v>125</v>
      </c>
      <c r="Q1028" s="471" t="s">
        <v>125</v>
      </c>
      <c r="R1028" s="483">
        <v>360000</v>
      </c>
      <c r="S1028" s="470" t="s">
        <v>129</v>
      </c>
      <c r="T1028" s="470" t="s">
        <v>36</v>
      </c>
      <c r="U1028" s="470" t="s">
        <v>35</v>
      </c>
      <c r="V1028" s="470"/>
      <c r="W1028" s="474" t="s">
        <v>2268</v>
      </c>
    </row>
    <row r="1029" spans="1:32" ht="92.4">
      <c r="A1029" s="852"/>
      <c r="B1029" s="520" t="s">
        <v>48</v>
      </c>
      <c r="C1029" s="465" t="s">
        <v>125</v>
      </c>
      <c r="D1029" s="466" t="s">
        <v>60</v>
      </c>
      <c r="E1029" s="466"/>
      <c r="F1029" s="466"/>
      <c r="G1029" s="466"/>
      <c r="H1029" s="466" t="s">
        <v>127</v>
      </c>
      <c r="I1029" s="474" t="s">
        <v>34</v>
      </c>
      <c r="J1029" s="1024" t="s">
        <v>2269</v>
      </c>
      <c r="K1029" s="467"/>
      <c r="L1029" s="467"/>
      <c r="M1029" s="466">
        <v>3</v>
      </c>
      <c r="N1029" s="469" t="str">
        <f>IF(O1029="tbc","",(IFERROR(EDATE(#REF!,-3),"Invalid procurement method or date entered")))</f>
        <v>Invalid procurement method or date entered</v>
      </c>
      <c r="O1029" s="470">
        <v>44287</v>
      </c>
      <c r="P1029" s="471" t="s">
        <v>125</v>
      </c>
      <c r="Q1029" s="471" t="s">
        <v>125</v>
      </c>
      <c r="R1029" s="483">
        <v>255000</v>
      </c>
      <c r="S1029" s="470" t="s">
        <v>129</v>
      </c>
      <c r="T1029" s="470" t="s">
        <v>36</v>
      </c>
      <c r="U1029" s="470" t="s">
        <v>125</v>
      </c>
      <c r="V1029" s="470"/>
      <c r="W1029" s="474" t="s">
        <v>2268</v>
      </c>
    </row>
    <row r="1030" spans="1:32" ht="66">
      <c r="A1030" s="852"/>
      <c r="B1030" s="520" t="s">
        <v>48</v>
      </c>
      <c r="C1030" s="501" t="s">
        <v>125</v>
      </c>
      <c r="D1030" s="502" t="s">
        <v>60</v>
      </c>
      <c r="E1030" s="502"/>
      <c r="F1030" s="502"/>
      <c r="G1030" s="502"/>
      <c r="H1030" s="502" t="s">
        <v>127</v>
      </c>
      <c r="I1030" s="506" t="s">
        <v>34</v>
      </c>
      <c r="J1030" s="1037" t="s">
        <v>2313</v>
      </c>
      <c r="K1030" s="588"/>
      <c r="L1030" s="502">
        <v>3</v>
      </c>
      <c r="M1030" s="503">
        <f>IF(O1030="tbc","",(IFERROR(EDATE($N1030,-3),"Invalid procurement method or date entered")))</f>
        <v>44105</v>
      </c>
      <c r="N1030" s="503">
        <f>IF(O1030="tbc","",(IFERROR(EDATE(O1030,-L1030),"Invalid procurement method or date entered")))</f>
        <v>44197</v>
      </c>
      <c r="O1030" s="505">
        <v>44287</v>
      </c>
      <c r="P1030" s="589" t="s">
        <v>125</v>
      </c>
      <c r="Q1030" s="589" t="s">
        <v>125</v>
      </c>
      <c r="R1030" s="504">
        <v>100000</v>
      </c>
      <c r="S1030" s="505" t="s">
        <v>129</v>
      </c>
      <c r="T1030" s="505" t="s">
        <v>36</v>
      </c>
      <c r="U1030" s="501" t="s">
        <v>125</v>
      </c>
      <c r="V1030" s="501"/>
      <c r="W1030" s="505"/>
    </row>
    <row r="1031" spans="1:32" ht="52.8">
      <c r="A1031" s="852"/>
      <c r="B1031" s="520" t="s">
        <v>48</v>
      </c>
      <c r="C1031" s="465" t="s">
        <v>2319</v>
      </c>
      <c r="D1031" s="466" t="s">
        <v>60</v>
      </c>
      <c r="E1031" s="466"/>
      <c r="F1031" s="466"/>
      <c r="G1031" s="466"/>
      <c r="H1031" s="466" t="s">
        <v>127</v>
      </c>
      <c r="I1031" s="474" t="s">
        <v>34</v>
      </c>
      <c r="J1031" s="1024" t="s">
        <v>2320</v>
      </c>
      <c r="K1031" s="467"/>
      <c r="L1031" s="466">
        <v>3</v>
      </c>
      <c r="M1031" s="469">
        <v>44105</v>
      </c>
      <c r="N1031" s="469">
        <v>44197</v>
      </c>
      <c r="O1031" s="470">
        <v>44287</v>
      </c>
      <c r="P1031" s="471" t="s">
        <v>125</v>
      </c>
      <c r="Q1031" s="471" t="s">
        <v>125</v>
      </c>
      <c r="R1031" s="483">
        <v>600000</v>
      </c>
      <c r="S1031" s="470" t="s">
        <v>173</v>
      </c>
      <c r="T1031" s="470" t="s">
        <v>144</v>
      </c>
      <c r="U1031" s="470"/>
      <c r="V1031" s="470"/>
      <c r="W1031" s="114"/>
    </row>
    <row r="1032" spans="1:32" ht="52.8">
      <c r="A1032" s="852"/>
      <c r="B1032" s="520" t="s">
        <v>48</v>
      </c>
      <c r="C1032" s="465" t="s">
        <v>125</v>
      </c>
      <c r="D1032" s="466" t="s">
        <v>60</v>
      </c>
      <c r="E1032" s="466"/>
      <c r="F1032" s="466"/>
      <c r="G1032" s="466"/>
      <c r="H1032" s="466" t="s">
        <v>127</v>
      </c>
      <c r="I1032" s="474" t="s">
        <v>34</v>
      </c>
      <c r="J1032" s="549" t="s">
        <v>2369</v>
      </c>
      <c r="K1032" s="484"/>
      <c r="L1032" s="466">
        <v>1</v>
      </c>
      <c r="M1032" s="469">
        <v>44228</v>
      </c>
      <c r="N1032" s="469">
        <f>IF(O1032="tbc","",(IFERROR(EDATE(O1032,-L1032),"Invalid procurement method or date entered")))</f>
        <v>44256</v>
      </c>
      <c r="O1032" s="469">
        <v>44287</v>
      </c>
      <c r="P1032" s="491" t="s">
        <v>125</v>
      </c>
      <c r="Q1032" s="491" t="s">
        <v>125</v>
      </c>
      <c r="R1032" s="493">
        <v>150000</v>
      </c>
      <c r="S1032" s="491" t="s">
        <v>163</v>
      </c>
      <c r="T1032" s="491" t="s">
        <v>36</v>
      </c>
      <c r="U1032" s="469">
        <v>43700</v>
      </c>
      <c r="V1032" s="469"/>
      <c r="W1032" s="513" t="s">
        <v>1304</v>
      </c>
    </row>
    <row r="1033" spans="1:32" ht="52.8">
      <c r="A1033" s="852"/>
      <c r="B1033" s="520" t="s">
        <v>48</v>
      </c>
      <c r="C1033" s="465" t="s">
        <v>125</v>
      </c>
      <c r="D1033" s="466" t="s">
        <v>60</v>
      </c>
      <c r="E1033" s="466"/>
      <c r="F1033" s="466"/>
      <c r="G1033" s="466"/>
      <c r="H1033" s="466" t="s">
        <v>127</v>
      </c>
      <c r="I1033" s="474" t="s">
        <v>34</v>
      </c>
      <c r="J1033" s="1024" t="s">
        <v>2477</v>
      </c>
      <c r="K1033" s="484"/>
      <c r="L1033" s="466">
        <v>12</v>
      </c>
      <c r="M1033" s="469">
        <f>IF(O1033="tbc","",(IFERROR(EDATE($N1033,-3),"Invalid procurement method or date entered")))</f>
        <v>43709</v>
      </c>
      <c r="N1033" s="469">
        <v>43800</v>
      </c>
      <c r="O1033" s="470">
        <v>44287</v>
      </c>
      <c r="P1033" s="471">
        <v>120</v>
      </c>
      <c r="Q1033" s="471">
        <v>120</v>
      </c>
      <c r="R1033" s="483">
        <v>581130000</v>
      </c>
      <c r="S1033" s="470" t="s">
        <v>98</v>
      </c>
      <c r="T1033" s="470" t="s">
        <v>144</v>
      </c>
      <c r="U1033" s="470" t="s">
        <v>125</v>
      </c>
      <c r="V1033" s="470"/>
      <c r="W1033" s="354" t="s">
        <v>41</v>
      </c>
    </row>
    <row r="1034" spans="1:32" ht="52.8">
      <c r="A1034" s="852"/>
      <c r="B1034" s="520" t="s">
        <v>48</v>
      </c>
      <c r="C1034" s="465" t="s">
        <v>125</v>
      </c>
      <c r="D1034" s="466" t="s">
        <v>214</v>
      </c>
      <c r="E1034" s="466"/>
      <c r="F1034" s="466"/>
      <c r="G1034" s="466"/>
      <c r="H1034" s="466" t="s">
        <v>127</v>
      </c>
      <c r="I1034" s="465" t="s">
        <v>34</v>
      </c>
      <c r="J1034" s="1025" t="s">
        <v>2522</v>
      </c>
      <c r="K1034" s="744"/>
      <c r="L1034" s="466">
        <v>1</v>
      </c>
      <c r="M1034" s="468">
        <f>IF(O1034="tbc","",(IFERROR(EDATE($N1034,-3),"Invalid procurement method or date entered")))</f>
        <v>44166</v>
      </c>
      <c r="N1034" s="469">
        <f>IF(O1034="tbc","",(IFERROR(EDATE(O1034,-L1034),"Invalid procurement method or date entered")))</f>
        <v>44256</v>
      </c>
      <c r="O1034" s="489">
        <v>44287</v>
      </c>
      <c r="P1034" s="490">
        <v>48</v>
      </c>
      <c r="Q1034" s="490">
        <v>48</v>
      </c>
      <c r="R1034" s="483">
        <v>1200000</v>
      </c>
      <c r="S1034" s="470" t="s">
        <v>163</v>
      </c>
      <c r="T1034" s="470" t="s">
        <v>144</v>
      </c>
      <c r="U1034" s="500" t="s">
        <v>39</v>
      </c>
      <c r="V1034" s="500"/>
      <c r="W1034" s="476" t="s">
        <v>41</v>
      </c>
    </row>
    <row r="1035" spans="1:32" ht="55.2">
      <c r="A1035" s="686" t="s">
        <v>43</v>
      </c>
      <c r="B1035" s="626" t="s">
        <v>145</v>
      </c>
      <c r="C1035" s="626" t="s">
        <v>35</v>
      </c>
      <c r="D1035" s="628" t="s">
        <v>718</v>
      </c>
      <c r="E1035" s="628"/>
      <c r="F1035" s="628"/>
      <c r="G1035" s="628"/>
      <c r="H1035" s="628" t="s">
        <v>92</v>
      </c>
      <c r="I1035" s="628" t="s">
        <v>266</v>
      </c>
      <c r="J1035" s="1048" t="s">
        <v>148</v>
      </c>
      <c r="K1035" s="628" t="s">
        <v>64</v>
      </c>
      <c r="L1035" s="627" t="s">
        <v>757</v>
      </c>
      <c r="M1035" s="628" t="s">
        <v>52</v>
      </c>
      <c r="N1035" s="628">
        <v>12</v>
      </c>
      <c r="O1035" s="630">
        <f>IFERROR(EDATE(Q1035,-N1035),"Invalid procurement method or date entered")</f>
        <v>44287</v>
      </c>
      <c r="P1035" s="631"/>
      <c r="Q1035" s="631">
        <v>44652</v>
      </c>
      <c r="R1035" s="654">
        <v>72</v>
      </c>
      <c r="S1035" s="654" t="s">
        <v>3967</v>
      </c>
      <c r="T1035" s="653">
        <v>3180000</v>
      </c>
      <c r="U1035" s="646" t="s">
        <v>66</v>
      </c>
      <c r="V1035" s="646"/>
      <c r="W1035" s="629">
        <v>43805</v>
      </c>
      <c r="X1035" s="669" t="s">
        <v>266</v>
      </c>
      <c r="Y1035" s="669" t="s">
        <v>680</v>
      </c>
      <c r="Z1035" s="669" t="s">
        <v>428</v>
      </c>
      <c r="AA1035" s="669" t="s">
        <v>457</v>
      </c>
      <c r="AB1035" s="669" t="s">
        <v>80</v>
      </c>
      <c r="AC1035" s="830" t="s">
        <v>41</v>
      </c>
      <c r="AD1035" s="993">
        <v>44951</v>
      </c>
      <c r="AE1035" s="707" t="s">
        <v>1264</v>
      </c>
      <c r="AF1035" s="854" t="s">
        <v>266</v>
      </c>
    </row>
    <row r="1036" spans="1:32" ht="15.6">
      <c r="A1036" s="1061">
        <v>44974</v>
      </c>
      <c r="B1036" s="1066" t="s">
        <v>210</v>
      </c>
      <c r="C1036" s="1072" t="s">
        <v>3968</v>
      </c>
      <c r="D1036" s="1072" t="s">
        <v>209</v>
      </c>
      <c r="E1036" s="1066" t="s">
        <v>210</v>
      </c>
      <c r="F1036" s="1066" t="s">
        <v>190</v>
      </c>
      <c r="G1036" s="1066" t="s">
        <v>190</v>
      </c>
      <c r="H1036" s="1066" t="s">
        <v>190</v>
      </c>
      <c r="I1036" s="1066" t="s">
        <v>190</v>
      </c>
      <c r="J1036" s="1095" t="s">
        <v>1147</v>
      </c>
      <c r="K1036" s="1072" t="s">
        <v>1148</v>
      </c>
      <c r="L1036" s="1066" t="s">
        <v>190</v>
      </c>
      <c r="M1036" s="1066" t="s">
        <v>190</v>
      </c>
      <c r="N1036" s="1066" t="s">
        <v>190</v>
      </c>
      <c r="O1036" s="1142">
        <v>44287</v>
      </c>
      <c r="P1036" s="1142">
        <v>45747</v>
      </c>
      <c r="Q1036" s="1072" t="s">
        <v>100</v>
      </c>
      <c r="R1036" s="1176">
        <v>145000</v>
      </c>
      <c r="S1036" s="1072" t="s">
        <v>158</v>
      </c>
      <c r="T1036" s="1066" t="s">
        <v>190</v>
      </c>
      <c r="U1036" s="1066" t="s">
        <v>190</v>
      </c>
      <c r="V1036" s="1066"/>
      <c r="W1036" s="1072" t="s">
        <v>3969</v>
      </c>
      <c r="X1036" s="1116" t="s">
        <v>1346</v>
      </c>
      <c r="Y1036" s="1116" t="s">
        <v>1266</v>
      </c>
      <c r="Z1036" s="1068" t="s">
        <v>190</v>
      </c>
      <c r="AA1036" s="1068" t="s">
        <v>190</v>
      </c>
      <c r="AB1036" s="1068" t="s">
        <v>190</v>
      </c>
      <c r="AC1036" s="694" t="s">
        <v>1149</v>
      </c>
      <c r="AD1036" s="1068" t="s">
        <v>190</v>
      </c>
      <c r="AE1036" s="1193">
        <v>145000</v>
      </c>
    </row>
    <row r="1037" spans="1:32" ht="15.6">
      <c r="A1037" s="1061">
        <v>44974</v>
      </c>
      <c r="B1037" s="1066" t="s">
        <v>210</v>
      </c>
      <c r="C1037" s="1072" t="s">
        <v>3970</v>
      </c>
      <c r="D1037" s="1072" t="s">
        <v>1034</v>
      </c>
      <c r="E1037" s="1066" t="s">
        <v>210</v>
      </c>
      <c r="F1037" s="1066" t="s">
        <v>190</v>
      </c>
      <c r="G1037" s="1066" t="s">
        <v>190</v>
      </c>
      <c r="H1037" s="1066" t="s">
        <v>190</v>
      </c>
      <c r="I1037" s="1066" t="s">
        <v>190</v>
      </c>
      <c r="J1037" s="1095" t="s">
        <v>1174</v>
      </c>
      <c r="K1037" s="1072" t="s">
        <v>1175</v>
      </c>
      <c r="L1037" s="1066" t="s">
        <v>190</v>
      </c>
      <c r="M1037" s="1066" t="s">
        <v>190</v>
      </c>
      <c r="N1037" s="1066" t="s">
        <v>190</v>
      </c>
      <c r="O1037" s="1142">
        <v>44287</v>
      </c>
      <c r="P1037" s="1142">
        <v>45016</v>
      </c>
      <c r="Q1037" s="1142">
        <v>45747</v>
      </c>
      <c r="R1037" s="1176">
        <v>39980</v>
      </c>
      <c r="S1037" s="1072" t="s">
        <v>3971</v>
      </c>
      <c r="T1037" s="1066" t="s">
        <v>190</v>
      </c>
      <c r="U1037" s="1066" t="s">
        <v>190</v>
      </c>
      <c r="V1037" s="1066"/>
      <c r="W1037" s="1072" t="s">
        <v>1176</v>
      </c>
      <c r="X1037" s="1116" t="s">
        <v>1346</v>
      </c>
      <c r="Y1037" s="1116" t="s">
        <v>1266</v>
      </c>
      <c r="Z1037" s="1068" t="s">
        <v>190</v>
      </c>
      <c r="AA1037" s="1068" t="s">
        <v>190</v>
      </c>
      <c r="AB1037" s="1068" t="s">
        <v>190</v>
      </c>
      <c r="AC1037" s="694" t="s">
        <v>3972</v>
      </c>
      <c r="AD1037" s="1068" t="s">
        <v>190</v>
      </c>
      <c r="AE1037" s="1193">
        <v>39980</v>
      </c>
    </row>
    <row r="1038" spans="1:32" ht="15.6">
      <c r="A1038" s="1061">
        <v>44974</v>
      </c>
      <c r="B1038" s="1066" t="s">
        <v>210</v>
      </c>
      <c r="C1038" s="1072" t="s">
        <v>1347</v>
      </c>
      <c r="D1038" s="1072" t="s">
        <v>1034</v>
      </c>
      <c r="E1038" s="1066" t="s">
        <v>210</v>
      </c>
      <c r="F1038" s="1066" t="s">
        <v>190</v>
      </c>
      <c r="G1038" s="1066" t="s">
        <v>190</v>
      </c>
      <c r="H1038" s="1066" t="s">
        <v>190</v>
      </c>
      <c r="I1038" s="1066" t="s">
        <v>190</v>
      </c>
      <c r="J1038" s="1095" t="s">
        <v>1348</v>
      </c>
      <c r="K1038" s="1072" t="s">
        <v>1349</v>
      </c>
      <c r="L1038" s="1066" t="s">
        <v>190</v>
      </c>
      <c r="M1038" s="1066" t="s">
        <v>190</v>
      </c>
      <c r="N1038" s="1066" t="s">
        <v>190</v>
      </c>
      <c r="O1038" s="1142">
        <v>44287</v>
      </c>
      <c r="P1038" s="1142">
        <v>44651</v>
      </c>
      <c r="Q1038" s="1072" t="s">
        <v>1350</v>
      </c>
      <c r="R1038" s="1176">
        <v>40269</v>
      </c>
      <c r="S1038" s="1072" t="s">
        <v>237</v>
      </c>
      <c r="T1038" s="1066" t="s">
        <v>190</v>
      </c>
      <c r="U1038" s="1066" t="s">
        <v>190</v>
      </c>
      <c r="V1038" s="1066"/>
      <c r="W1038" s="1072" t="s">
        <v>3973</v>
      </c>
      <c r="X1038" s="1116" t="s">
        <v>1346</v>
      </c>
      <c r="Y1038" s="1116" t="s">
        <v>1266</v>
      </c>
      <c r="Z1038" s="1068" t="s">
        <v>190</v>
      </c>
      <c r="AA1038" s="1068" t="s">
        <v>190</v>
      </c>
      <c r="AB1038" s="1068" t="s">
        <v>190</v>
      </c>
      <c r="AC1038" s="694" t="s">
        <v>3974</v>
      </c>
      <c r="AD1038" s="1068" t="s">
        <v>190</v>
      </c>
      <c r="AE1038" s="1193">
        <v>40269</v>
      </c>
    </row>
    <row r="1039" spans="1:32" ht="15.6">
      <c r="A1039" s="1061">
        <v>44974</v>
      </c>
      <c r="B1039" s="1066" t="s">
        <v>210</v>
      </c>
      <c r="C1039" s="1072" t="s">
        <v>3975</v>
      </c>
      <c r="D1039" s="1072" t="s">
        <v>1034</v>
      </c>
      <c r="E1039" s="1066" t="s">
        <v>210</v>
      </c>
      <c r="F1039" s="1066" t="s">
        <v>190</v>
      </c>
      <c r="G1039" s="1066" t="s">
        <v>190</v>
      </c>
      <c r="H1039" s="1066" t="s">
        <v>190</v>
      </c>
      <c r="I1039" s="1066" t="s">
        <v>190</v>
      </c>
      <c r="J1039" s="1095" t="s">
        <v>1181</v>
      </c>
      <c r="K1039" s="1072" t="s">
        <v>1182</v>
      </c>
      <c r="L1039" s="1066" t="s">
        <v>190</v>
      </c>
      <c r="M1039" s="1066" t="s">
        <v>190</v>
      </c>
      <c r="N1039" s="1066" t="s">
        <v>190</v>
      </c>
      <c r="O1039" s="1142">
        <v>44287</v>
      </c>
      <c r="P1039" s="1142">
        <v>44651</v>
      </c>
      <c r="Q1039" s="1072" t="s">
        <v>1350</v>
      </c>
      <c r="R1039" s="1176">
        <v>28980</v>
      </c>
      <c r="S1039" s="1072" t="s">
        <v>237</v>
      </c>
      <c r="T1039" s="1066" t="s">
        <v>190</v>
      </c>
      <c r="U1039" s="1066" t="s">
        <v>190</v>
      </c>
      <c r="V1039" s="1066"/>
      <c r="W1039" s="1072" t="s">
        <v>2548</v>
      </c>
      <c r="X1039" s="1116" t="s">
        <v>1346</v>
      </c>
      <c r="Y1039" s="1116" t="s">
        <v>1266</v>
      </c>
      <c r="Z1039" s="1068" t="s">
        <v>190</v>
      </c>
      <c r="AA1039" s="1068" t="s">
        <v>190</v>
      </c>
      <c r="AB1039" s="1068" t="s">
        <v>190</v>
      </c>
      <c r="AC1039" s="694" t="s">
        <v>3976</v>
      </c>
      <c r="AD1039" s="1068" t="s">
        <v>190</v>
      </c>
      <c r="AE1039" s="1193">
        <v>28980</v>
      </c>
    </row>
    <row r="1040" spans="1:32" ht="15.6">
      <c r="A1040" s="1061">
        <v>44974</v>
      </c>
      <c r="B1040" s="1066" t="s">
        <v>210</v>
      </c>
      <c r="C1040" s="1072" t="s">
        <v>3977</v>
      </c>
      <c r="D1040" s="1072" t="s">
        <v>1073</v>
      </c>
      <c r="E1040" s="1066" t="s">
        <v>210</v>
      </c>
      <c r="F1040" s="1066" t="s">
        <v>190</v>
      </c>
      <c r="G1040" s="1066" t="s">
        <v>190</v>
      </c>
      <c r="H1040" s="1066" t="s">
        <v>190</v>
      </c>
      <c r="I1040" s="1066" t="s">
        <v>190</v>
      </c>
      <c r="J1040" s="1095" t="s">
        <v>1170</v>
      </c>
      <c r="K1040" s="1072" t="s">
        <v>1171</v>
      </c>
      <c r="L1040" s="1066" t="s">
        <v>190</v>
      </c>
      <c r="M1040" s="1066" t="s">
        <v>190</v>
      </c>
      <c r="N1040" s="1066" t="s">
        <v>190</v>
      </c>
      <c r="O1040" s="1142">
        <v>44287</v>
      </c>
      <c r="P1040" s="1142">
        <v>45016</v>
      </c>
      <c r="Q1040" s="1142">
        <v>45747</v>
      </c>
      <c r="R1040" s="1176">
        <v>48000</v>
      </c>
      <c r="S1040" s="1072" t="s">
        <v>158</v>
      </c>
      <c r="T1040" s="1066" t="s">
        <v>190</v>
      </c>
      <c r="U1040" s="1066" t="s">
        <v>190</v>
      </c>
      <c r="V1040" s="1066"/>
      <c r="W1040" s="1072" t="s">
        <v>322</v>
      </c>
      <c r="X1040" s="1116" t="s">
        <v>1346</v>
      </c>
      <c r="Y1040" s="1116" t="s">
        <v>1266</v>
      </c>
      <c r="Z1040" s="1068" t="s">
        <v>190</v>
      </c>
      <c r="AA1040" s="1068" t="s">
        <v>190</v>
      </c>
      <c r="AB1040" s="1068" t="s">
        <v>190</v>
      </c>
      <c r="AC1040" s="694" t="s">
        <v>3978</v>
      </c>
      <c r="AD1040" s="1068" t="s">
        <v>190</v>
      </c>
      <c r="AE1040" s="1193">
        <v>48000</v>
      </c>
    </row>
    <row r="1041" spans="1:32" ht="15.6">
      <c r="A1041" s="1061">
        <v>44974</v>
      </c>
      <c r="B1041" s="1066" t="s">
        <v>210</v>
      </c>
      <c r="C1041" s="1072" t="s">
        <v>3970</v>
      </c>
      <c r="D1041" s="1072" t="s">
        <v>1034</v>
      </c>
      <c r="E1041" s="1066" t="s">
        <v>210</v>
      </c>
      <c r="F1041" s="1066" t="s">
        <v>190</v>
      </c>
      <c r="G1041" s="1066" t="s">
        <v>190</v>
      </c>
      <c r="H1041" s="1066" t="s">
        <v>190</v>
      </c>
      <c r="I1041" s="1066" t="s">
        <v>190</v>
      </c>
      <c r="J1041" s="1095" t="s">
        <v>1174</v>
      </c>
      <c r="K1041" s="1072" t="s">
        <v>1175</v>
      </c>
      <c r="L1041" s="1066" t="s">
        <v>190</v>
      </c>
      <c r="M1041" s="1066" t="s">
        <v>190</v>
      </c>
      <c r="N1041" s="1066" t="s">
        <v>190</v>
      </c>
      <c r="O1041" s="1142">
        <v>44287</v>
      </c>
      <c r="P1041" s="1142">
        <v>45382</v>
      </c>
      <c r="Q1041" s="1142">
        <v>45747</v>
      </c>
      <c r="R1041" s="1176">
        <v>39980</v>
      </c>
      <c r="S1041" s="1072" t="s">
        <v>3971</v>
      </c>
      <c r="T1041" s="1066" t="s">
        <v>190</v>
      </c>
      <c r="U1041" s="1066" t="s">
        <v>190</v>
      </c>
      <c r="V1041" s="1066"/>
      <c r="W1041" s="1072" t="s">
        <v>3979</v>
      </c>
      <c r="X1041" s="1116" t="s">
        <v>1346</v>
      </c>
      <c r="Y1041" s="1116" t="s">
        <v>1266</v>
      </c>
      <c r="Z1041" s="1068" t="s">
        <v>190</v>
      </c>
      <c r="AA1041" s="1068" t="s">
        <v>190</v>
      </c>
      <c r="AB1041" s="1068" t="s">
        <v>190</v>
      </c>
      <c r="AC1041" s="694" t="s">
        <v>3980</v>
      </c>
      <c r="AD1041" s="1068" t="s">
        <v>190</v>
      </c>
      <c r="AE1041" s="1193">
        <v>39980</v>
      </c>
    </row>
    <row r="1042" spans="1:32" ht="15.6">
      <c r="A1042" s="1061">
        <v>44974</v>
      </c>
      <c r="B1042" s="1066" t="s">
        <v>210</v>
      </c>
      <c r="C1042" s="1072" t="s">
        <v>3977</v>
      </c>
      <c r="D1042" s="1072" t="s">
        <v>1073</v>
      </c>
      <c r="E1042" s="1066" t="s">
        <v>210</v>
      </c>
      <c r="F1042" s="1066" t="s">
        <v>190</v>
      </c>
      <c r="G1042" s="1066" t="s">
        <v>190</v>
      </c>
      <c r="H1042" s="1066" t="s">
        <v>190</v>
      </c>
      <c r="I1042" s="1066" t="s">
        <v>190</v>
      </c>
      <c r="J1042" s="1095" t="s">
        <v>1170</v>
      </c>
      <c r="K1042" s="1072" t="s">
        <v>1171</v>
      </c>
      <c r="L1042" s="1066" t="s">
        <v>190</v>
      </c>
      <c r="M1042" s="1066" t="s">
        <v>190</v>
      </c>
      <c r="N1042" s="1066" t="s">
        <v>190</v>
      </c>
      <c r="O1042" s="1142">
        <v>44287</v>
      </c>
      <c r="P1042" s="1142">
        <v>45382</v>
      </c>
      <c r="Q1042" s="1142">
        <v>45747</v>
      </c>
      <c r="R1042" s="1176">
        <v>48000</v>
      </c>
      <c r="S1042" s="1072" t="s">
        <v>158</v>
      </c>
      <c r="T1042" s="1066" t="s">
        <v>190</v>
      </c>
      <c r="U1042" s="1066" t="s">
        <v>190</v>
      </c>
      <c r="V1042" s="1066"/>
      <c r="W1042" s="1072" t="s">
        <v>1172</v>
      </c>
      <c r="X1042" s="1116" t="s">
        <v>1346</v>
      </c>
      <c r="Y1042" s="1116" t="s">
        <v>1266</v>
      </c>
      <c r="Z1042" s="1068" t="s">
        <v>190</v>
      </c>
      <c r="AA1042" s="1068" t="s">
        <v>190</v>
      </c>
      <c r="AB1042" s="1068" t="s">
        <v>190</v>
      </c>
      <c r="AC1042" s="694" t="s">
        <v>1173</v>
      </c>
      <c r="AD1042" s="1068" t="s">
        <v>190</v>
      </c>
      <c r="AE1042" s="1193">
        <v>48000</v>
      </c>
    </row>
    <row r="1043" spans="1:32" ht="207">
      <c r="A1043" s="695"/>
      <c r="B1043" s="634" t="s">
        <v>48</v>
      </c>
      <c r="C1043" s="634" t="s">
        <v>125</v>
      </c>
      <c r="D1043" s="638" t="s">
        <v>60</v>
      </c>
      <c r="E1043" s="638" t="s">
        <v>30</v>
      </c>
      <c r="F1043" s="666" t="s">
        <v>61</v>
      </c>
      <c r="G1043" s="704" t="s">
        <v>126</v>
      </c>
      <c r="H1043" s="638" t="s">
        <v>127</v>
      </c>
      <c r="I1043" s="628" t="s">
        <v>34</v>
      </c>
      <c r="J1043" s="636" t="s">
        <v>3981</v>
      </c>
      <c r="K1043" s="638"/>
      <c r="L1043" s="638">
        <v>14</v>
      </c>
      <c r="M1043" s="639" t="s">
        <v>125</v>
      </c>
      <c r="N1043" s="630">
        <f>IF(O1043="tbc","",(IFERROR(EDATE(O1043,-L1043),"Invalid procurement method or date entered")))</f>
        <v>43862</v>
      </c>
      <c r="O1043" s="630">
        <v>44287</v>
      </c>
      <c r="P1043" s="671" t="s">
        <v>125</v>
      </c>
      <c r="Q1043" s="671" t="s">
        <v>125</v>
      </c>
      <c r="R1043" s="653" t="s">
        <v>125</v>
      </c>
      <c r="S1043" s="671" t="s">
        <v>35</v>
      </c>
      <c r="T1043" s="671" t="s">
        <v>36</v>
      </c>
      <c r="U1043" s="630" t="s">
        <v>125</v>
      </c>
      <c r="V1043" s="630"/>
      <c r="W1043" s="628" t="s">
        <v>1413</v>
      </c>
      <c r="X1043" s="698" t="s">
        <v>35</v>
      </c>
      <c r="Y1043" s="688" t="s">
        <v>59</v>
      </c>
      <c r="Z1043" s="688" t="s">
        <v>95</v>
      </c>
      <c r="AA1043" s="686" t="s">
        <v>41</v>
      </c>
      <c r="AB1043" s="1240">
        <v>44690</v>
      </c>
      <c r="AC1043" s="994" t="s">
        <v>3982</v>
      </c>
      <c r="AD1043" s="1252"/>
      <c r="AE1043" s="1252"/>
      <c r="AF1043" s="691"/>
    </row>
    <row r="1044" spans="1:32" ht="115.2">
      <c r="A1044" s="889"/>
      <c r="B1044" s="10"/>
      <c r="C1044" s="10"/>
      <c r="D1044" s="6" t="s">
        <v>60</v>
      </c>
      <c r="E1044" s="6"/>
      <c r="F1044" s="6"/>
      <c r="G1044" s="6"/>
      <c r="H1044" s="8" t="s">
        <v>63</v>
      </c>
      <c r="I1044" s="10" t="s">
        <v>34</v>
      </c>
      <c r="J1044" s="16" t="s">
        <v>3983</v>
      </c>
      <c r="K1044" s="8"/>
      <c r="L1044" s="8" t="e">
        <f>IF(OR(S1044=#REF!,S1044=#REF!,S1044=#REF!,S1044=#REF!,S1044=#REF!,S1044=#REF!,S1044=#REF!,S1044=#REF!),12,IF(OR(S1044=#REF!,S1044=#REF!,S1044=#REF!,S1044=#REF!,S1044=#REF!,S1044=#REF!,S1044=#REF!),3,IF(S1044=#REF!,1,IF(S1044=#REF!,18,IF(OR(S1044=#REF!,S1044=#REF!,S1044=#REF!,S1044=#REF!,S1044=#REF!),14,"Invalid proposed procurement method")))))</f>
        <v>#REF!</v>
      </c>
      <c r="M1044" s="171" t="str">
        <f>IFERROR(EDATE($N1044,-3),"Invalid procurement method or date entered")</f>
        <v>Invalid procurement method or date entered</v>
      </c>
      <c r="N1044" s="171" t="str">
        <f>IFERROR(EDATE(O1044,-L1044),"Invalid procurement method or date entered")</f>
        <v>Invalid procurement method or date entered</v>
      </c>
      <c r="O1044" s="171">
        <v>44288</v>
      </c>
      <c r="P1044" s="10" t="s">
        <v>35</v>
      </c>
      <c r="Q1044" s="10" t="s">
        <v>35</v>
      </c>
      <c r="R1044" s="152" t="s">
        <v>35</v>
      </c>
      <c r="S1044" s="8" t="s">
        <v>35</v>
      </c>
      <c r="T1044" s="255" t="s">
        <v>41</v>
      </c>
      <c r="U1044" s="256" t="s">
        <v>35</v>
      </c>
      <c r="V1044" s="256"/>
      <c r="W1044" s="10" t="s">
        <v>67</v>
      </c>
      <c r="X1044" s="95" t="s">
        <v>1091</v>
      </c>
      <c r="Y1044" s="95" t="s">
        <v>457</v>
      </c>
      <c r="Z1044" s="95"/>
      <c r="AA1044" s="95" t="s">
        <v>41</v>
      </c>
      <c r="AB1044" s="316" t="s">
        <v>1250</v>
      </c>
      <c r="AC1044" s="848" t="s">
        <v>3984</v>
      </c>
      <c r="AD1044" s="3" t="s">
        <v>63</v>
      </c>
      <c r="AE1044" s="877" t="s">
        <v>35</v>
      </c>
    </row>
    <row r="1045" spans="1:32" ht="66">
      <c r="A1045" s="852"/>
      <c r="B1045" s="520" t="s">
        <v>48</v>
      </c>
      <c r="C1045" s="465" t="s">
        <v>2350</v>
      </c>
      <c r="D1045" s="466" t="s">
        <v>60</v>
      </c>
      <c r="E1045" s="466"/>
      <c r="F1045" s="466"/>
      <c r="G1045" s="466"/>
      <c r="H1045" s="466" t="s">
        <v>127</v>
      </c>
      <c r="I1045" s="465" t="s">
        <v>34</v>
      </c>
      <c r="J1045" s="1025" t="s">
        <v>2351</v>
      </c>
      <c r="K1045" s="488"/>
      <c r="L1045" s="466">
        <v>3</v>
      </c>
      <c r="M1045" s="469">
        <f>IF(O1045="tbc","",(IFERROR(EDATE($N1045,-3),"Invalid procurement method or date entered")))</f>
        <v>44109</v>
      </c>
      <c r="N1045" s="469">
        <f>IF(O1045="tbc","",(IFERROR(EDATE(O1045,-L1045),"Invalid procurement method or date entered")))</f>
        <v>44201</v>
      </c>
      <c r="O1045" s="489">
        <v>44291</v>
      </c>
      <c r="P1045" s="490" t="s">
        <v>125</v>
      </c>
      <c r="Q1045" s="490" t="s">
        <v>125</v>
      </c>
      <c r="R1045" s="483">
        <v>2293867</v>
      </c>
      <c r="S1045" s="470" t="s">
        <v>129</v>
      </c>
      <c r="T1045" s="470" t="s">
        <v>144</v>
      </c>
      <c r="U1045" s="470" t="s">
        <v>125</v>
      </c>
      <c r="V1045" s="470"/>
      <c r="W1045" s="465" t="s">
        <v>2190</v>
      </c>
    </row>
    <row r="1046" spans="1:32" ht="172.8">
      <c r="A1046" s="889"/>
      <c r="B1046" s="114"/>
      <c r="C1046" s="1362" t="s">
        <v>1262</v>
      </c>
      <c r="D1046" s="9" t="s">
        <v>29</v>
      </c>
      <c r="E1046" s="9"/>
      <c r="F1046" s="9"/>
      <c r="G1046" s="9"/>
      <c r="H1046" s="9" t="s">
        <v>70</v>
      </c>
      <c r="I1046" s="15" t="s">
        <v>64</v>
      </c>
      <c r="J1046" s="16" t="s">
        <v>314</v>
      </c>
      <c r="K1046" s="16"/>
      <c r="L1046" s="5" t="e">
        <f>IF(OR(S1046=#REF!,S1046=#REF!,S1046=#REF!,S1046=#REF!,S1046=#REF!,S1046=#REF!,S1046=#REF!,S1046=#REF!),12,IF(OR(S1046=#REF!,S1046=#REF!,S1046=#REF!,S1046=#REF!,S1046=#REF!,S1046=#REF!,S1046=#REF!),3,IF(S1046=#REF!,1,IF(S1046=#REF!,18,IF(OR(S1046=#REF!,S1046=#REF!,S1046=#REF!,S1046=#REF!,S1046=#REF!),14,"Invalid proposed procurement method")))))</f>
        <v>#REF!</v>
      </c>
      <c r="M1046" s="193" t="str">
        <f>IFERROR(EDATE($N1046,-3),"Invalid procurement method or date entered")</f>
        <v>Invalid procurement method or date entered</v>
      </c>
      <c r="N1046" s="193" t="str">
        <f>IFERROR(EDATE(O1046,-L1046),"Invalid procurement method or date entered")</f>
        <v>Invalid procurement method or date entered</v>
      </c>
      <c r="O1046" s="176">
        <v>44293</v>
      </c>
      <c r="P1046" s="12">
        <v>48</v>
      </c>
      <c r="Q1046" s="7" t="s">
        <v>1316</v>
      </c>
      <c r="R1046" s="18">
        <v>96000</v>
      </c>
      <c r="S1046" s="5" t="s">
        <v>66</v>
      </c>
      <c r="T1046" s="49" t="s">
        <v>36</v>
      </c>
      <c r="U1046" s="45" t="s">
        <v>37</v>
      </c>
      <c r="V1046" s="45"/>
      <c r="W1046" s="12" t="s">
        <v>3187</v>
      </c>
      <c r="X1046" s="74" t="s">
        <v>1088</v>
      </c>
      <c r="Y1046" s="74" t="s">
        <v>457</v>
      </c>
      <c r="Z1046" s="74" t="s">
        <v>40</v>
      </c>
      <c r="AA1046" s="819" t="s">
        <v>54</v>
      </c>
      <c r="AB1046" s="316" t="s">
        <v>1250</v>
      </c>
      <c r="AC1046" s="847" t="s">
        <v>3985</v>
      </c>
      <c r="AD1046" s="74" t="s">
        <v>74</v>
      </c>
      <c r="AE1046" s="864">
        <v>24000</v>
      </c>
    </row>
    <row r="1047" spans="1:32" ht="43.2">
      <c r="A1047" s="888"/>
      <c r="B1047" s="168"/>
      <c r="C1047" s="4" t="s">
        <v>35</v>
      </c>
      <c r="D1047" s="9" t="s">
        <v>29</v>
      </c>
      <c r="E1047" s="9"/>
      <c r="F1047" s="9"/>
      <c r="G1047" s="9"/>
      <c r="H1047" s="5" t="s">
        <v>70</v>
      </c>
      <c r="I1047" s="5" t="s">
        <v>34</v>
      </c>
      <c r="J1047" s="1035" t="s">
        <v>3986</v>
      </c>
      <c r="K1047" s="61"/>
      <c r="L1047" s="5">
        <v>6</v>
      </c>
      <c r="M1047" s="193">
        <f>IFERROR(EDATE($N1047,-3),"Invalid procurement method or date entered")</f>
        <v>44023</v>
      </c>
      <c r="N1047" s="193">
        <f>IFERROR(EDATE(O1047,-L1047),"Invalid procurement method or date entered")</f>
        <v>44115</v>
      </c>
      <c r="O1047" s="176">
        <v>44297</v>
      </c>
      <c r="P1047" s="12">
        <v>12</v>
      </c>
      <c r="Q1047" s="7" t="s">
        <v>108</v>
      </c>
      <c r="R1047" s="18">
        <v>3895.24</v>
      </c>
      <c r="S1047" s="5" t="s">
        <v>909</v>
      </c>
      <c r="T1047" s="49" t="s">
        <v>54</v>
      </c>
      <c r="U1047" s="45" t="s">
        <v>37</v>
      </c>
      <c r="V1047" s="45"/>
      <c r="W1047" s="12" t="s">
        <v>301</v>
      </c>
      <c r="X1047" s="819" t="s">
        <v>73</v>
      </c>
      <c r="Y1047" s="74" t="s">
        <v>39</v>
      </c>
      <c r="Z1047" s="74" t="s">
        <v>95</v>
      </c>
      <c r="AA1047" s="74" t="s">
        <v>54</v>
      </c>
      <c r="AB1047" s="316" t="s">
        <v>1269</v>
      </c>
      <c r="AC1047" s="847"/>
      <c r="AD1047" s="74" t="s">
        <v>141</v>
      </c>
      <c r="AE1047" s="204">
        <v>3895</v>
      </c>
    </row>
    <row r="1048" spans="1:32" ht="28.8">
      <c r="A1048" s="888"/>
      <c r="B1048" s="323" t="s">
        <v>145</v>
      </c>
      <c r="C1048" s="323"/>
      <c r="D1048" s="8" t="s">
        <v>82</v>
      </c>
      <c r="E1048" s="8"/>
      <c r="F1048" s="8"/>
      <c r="G1048" s="8"/>
      <c r="H1048" s="8"/>
      <c r="I1048" s="8" t="s">
        <v>3987</v>
      </c>
      <c r="J1048" s="16" t="s">
        <v>3988</v>
      </c>
      <c r="K1048" s="8"/>
      <c r="L1048" s="78">
        <v>1</v>
      </c>
      <c r="M1048" s="394">
        <f>IFERROR(EDATE(N1048,-3),"Invalid procurement method or date entered")</f>
        <v>44177</v>
      </c>
      <c r="N1048" s="346">
        <f>IFERROR(EDATE(O1048,-L1048),"Invalid procurement method or date entered")</f>
        <v>44267</v>
      </c>
      <c r="O1048" s="328">
        <v>44298</v>
      </c>
      <c r="P1048" s="66">
        <v>24</v>
      </c>
      <c r="Q1048" s="66" t="s">
        <v>160</v>
      </c>
      <c r="R1048" s="153">
        <v>5000</v>
      </c>
      <c r="S1048" s="5" t="s">
        <v>909</v>
      </c>
      <c r="T1048" s="319" t="s">
        <v>54</v>
      </c>
      <c r="U1048" s="319" t="s">
        <v>35</v>
      </c>
      <c r="V1048" s="319"/>
      <c r="W1048" s="8" t="s">
        <v>3179</v>
      </c>
      <c r="X1048" s="95" t="s">
        <v>1119</v>
      </c>
      <c r="Y1048" s="95" t="s">
        <v>59</v>
      </c>
      <c r="Z1048" s="95"/>
      <c r="AA1048" s="828"/>
      <c r="AB1048" s="837" t="s">
        <v>41</v>
      </c>
      <c r="AC1048" s="390">
        <v>44078</v>
      </c>
      <c r="AD1048" s="390"/>
      <c r="AE1048" s="390"/>
    </row>
    <row r="1049" spans="1:32" ht="66">
      <c r="A1049" s="852"/>
      <c r="B1049" s="520" t="s">
        <v>48</v>
      </c>
      <c r="C1049" s="465"/>
      <c r="D1049" s="466" t="s">
        <v>60</v>
      </c>
      <c r="E1049" s="466"/>
      <c r="F1049" s="466"/>
      <c r="G1049" s="466"/>
      <c r="H1049" s="466" t="s">
        <v>127</v>
      </c>
      <c r="I1049" s="465" t="s">
        <v>34</v>
      </c>
      <c r="J1049" s="1025" t="s">
        <v>2328</v>
      </c>
      <c r="K1049" s="488"/>
      <c r="L1049" s="466">
        <v>1</v>
      </c>
      <c r="M1049" s="469">
        <f>IF(O1049="tbc","",(IFERROR(EDATE($N1049,-3),"Invalid procurement method or date entered")))</f>
        <v>44177</v>
      </c>
      <c r="N1049" s="469">
        <f>IF(O1049="tbc","",(IFERROR(EDATE(O1049,-L1049),"Invalid procurement method or date entered")))</f>
        <v>44267</v>
      </c>
      <c r="O1049" s="489">
        <v>44298</v>
      </c>
      <c r="P1049" s="490">
        <v>1</v>
      </c>
      <c r="Q1049" s="490">
        <v>1</v>
      </c>
      <c r="R1049" s="483">
        <v>699423</v>
      </c>
      <c r="S1049" s="470" t="s">
        <v>129</v>
      </c>
      <c r="T1049" s="470" t="s">
        <v>898</v>
      </c>
      <c r="U1049" s="470" t="s">
        <v>125</v>
      </c>
      <c r="V1049" s="470"/>
      <c r="W1049" s="465" t="s">
        <v>2190</v>
      </c>
    </row>
    <row r="1050" spans="1:32" ht="72">
      <c r="A1050" s="1364"/>
      <c r="B1050" s="305"/>
      <c r="C1050" s="4" t="s">
        <v>3989</v>
      </c>
      <c r="D1050" s="5" t="s">
        <v>60</v>
      </c>
      <c r="E1050" s="5"/>
      <c r="F1050" s="5"/>
      <c r="G1050" s="5"/>
      <c r="H1050" s="5" t="s">
        <v>260</v>
      </c>
      <c r="I1050" s="5" t="s">
        <v>34</v>
      </c>
      <c r="J1050" s="16" t="s">
        <v>3990</v>
      </c>
      <c r="K1050" s="8"/>
      <c r="L1050" s="5" t="e">
        <f>IF(OR(S1050=#REF!,S1050=#REF!,S1050=#REF!,S1050=#REF!,S1050=#REF!,S1050=#REF!,S1050=#REF!,S1050=#REF!),12,IF(OR(S1050=#REF!,S1050=#REF!,S1050=#REF!,S1050=#REF!,S1050=#REF!,S1050=#REF!,S1050=#REF!),3,IF(S1050=#REF!,1,IF(S1050=#REF!,18,IF(OR(S1050=#REF!,S1050=#REF!,S1050=#REF!,S1050=#REF!,S1050=#REF!),14,"Invalid proposed procurement method")))))</f>
        <v>#REF!</v>
      </c>
      <c r="M1050" s="193">
        <v>44197</v>
      </c>
      <c r="N1050" s="193" t="str">
        <f>IFERROR(EDATE(O1050,-L1050),"Invalid procurement method or date entered")</f>
        <v>Invalid procurement method or date entered</v>
      </c>
      <c r="O1050" s="193">
        <v>44300</v>
      </c>
      <c r="P1050" s="5">
        <v>60</v>
      </c>
      <c r="Q1050" s="5">
        <v>60</v>
      </c>
      <c r="R1050" s="18">
        <v>1244906</v>
      </c>
      <c r="S1050" s="5" t="s">
        <v>46</v>
      </c>
      <c r="T1050" s="5" t="s">
        <v>41</v>
      </c>
      <c r="U1050" s="12"/>
      <c r="V1050" s="12"/>
      <c r="W1050" s="5" t="s">
        <v>233</v>
      </c>
      <c r="X1050" s="74" t="s">
        <v>94</v>
      </c>
      <c r="Y1050" s="74" t="s">
        <v>457</v>
      </c>
      <c r="Z1050" s="74"/>
      <c r="AA1050" s="74" t="s">
        <v>41</v>
      </c>
      <c r="AB1050" s="316" t="s">
        <v>1269</v>
      </c>
      <c r="AC1050" s="846" t="s">
        <v>3991</v>
      </c>
      <c r="AD1050" s="70" t="s">
        <v>63</v>
      </c>
      <c r="AE1050" s="204">
        <v>20000</v>
      </c>
    </row>
    <row r="1051" spans="1:32" ht="57.6">
      <c r="A1051" s="888"/>
      <c r="B1051" s="305"/>
      <c r="C1051" s="1362" t="s">
        <v>35</v>
      </c>
      <c r="D1051" s="9" t="s">
        <v>92</v>
      </c>
      <c r="E1051" s="9"/>
      <c r="F1051" s="9"/>
      <c r="G1051" s="9"/>
      <c r="H1051" s="5" t="s">
        <v>70</v>
      </c>
      <c r="I1051" s="5" t="s">
        <v>34</v>
      </c>
      <c r="J1051" s="16" t="s">
        <v>3992</v>
      </c>
      <c r="K1051" s="8"/>
      <c r="L1051" s="5">
        <v>6</v>
      </c>
      <c r="M1051" s="193">
        <f>IFERROR(EDATE($N1051,-3),"Invalid procurement method or date entered")</f>
        <v>44028</v>
      </c>
      <c r="N1051" s="193">
        <f>IFERROR(EDATE(O1051,-L1051),"Invalid procurement method or date entered")</f>
        <v>44120</v>
      </c>
      <c r="O1051" s="14">
        <v>44302</v>
      </c>
      <c r="P1051" s="12">
        <v>36</v>
      </c>
      <c r="Q1051" s="5" t="s">
        <v>236</v>
      </c>
      <c r="R1051" s="18">
        <v>52380</v>
      </c>
      <c r="S1051" s="5" t="s">
        <v>217</v>
      </c>
      <c r="T1051" s="11" t="s">
        <v>54</v>
      </c>
      <c r="U1051" s="15" t="s">
        <v>37</v>
      </c>
      <c r="V1051" s="15"/>
      <c r="W1051" s="5" t="s">
        <v>3993</v>
      </c>
      <c r="X1051" s="819" t="s">
        <v>1101</v>
      </c>
      <c r="Y1051" s="74" t="s">
        <v>457</v>
      </c>
      <c r="Z1051" s="74"/>
      <c r="AA1051" s="74" t="s">
        <v>54</v>
      </c>
      <c r="AB1051" s="316" t="s">
        <v>1269</v>
      </c>
      <c r="AC1051" s="847" t="s">
        <v>3994</v>
      </c>
      <c r="AD1051" s="74" t="s">
        <v>96</v>
      </c>
      <c r="AE1051" s="204">
        <v>17460</v>
      </c>
    </row>
    <row r="1052" spans="1:32" ht="15.6">
      <c r="A1052" s="1061">
        <v>44974</v>
      </c>
      <c r="B1052" s="1066" t="s">
        <v>210</v>
      </c>
      <c r="C1052" s="1072" t="s">
        <v>3995</v>
      </c>
      <c r="D1052" s="1072" t="s">
        <v>1073</v>
      </c>
      <c r="E1052" s="1066" t="s">
        <v>210</v>
      </c>
      <c r="F1052" s="1066" t="s">
        <v>190</v>
      </c>
      <c r="G1052" s="1066" t="s">
        <v>190</v>
      </c>
      <c r="H1052" s="1066" t="s">
        <v>190</v>
      </c>
      <c r="I1052" s="1066" t="s">
        <v>190</v>
      </c>
      <c r="J1052" s="1095" t="s">
        <v>1179</v>
      </c>
      <c r="K1052" s="1072" t="s">
        <v>1180</v>
      </c>
      <c r="L1052" s="1066" t="s">
        <v>190</v>
      </c>
      <c r="M1052" s="1066" t="s">
        <v>190</v>
      </c>
      <c r="N1052" s="1066" t="s">
        <v>190</v>
      </c>
      <c r="O1052" s="1142">
        <v>44305</v>
      </c>
      <c r="P1052" s="1142">
        <v>45077</v>
      </c>
      <c r="Q1052" s="1142">
        <v>45443</v>
      </c>
      <c r="R1052" s="1176">
        <v>36000</v>
      </c>
      <c r="S1052" s="1072" t="s">
        <v>1358</v>
      </c>
      <c r="T1052" s="1066" t="s">
        <v>190</v>
      </c>
      <c r="U1052" s="1066" t="s">
        <v>190</v>
      </c>
      <c r="V1052" s="1066"/>
      <c r="W1052" s="1072" t="s">
        <v>3996</v>
      </c>
      <c r="X1052" s="1116" t="s">
        <v>1346</v>
      </c>
      <c r="Y1052" s="1116" t="s">
        <v>1266</v>
      </c>
      <c r="Z1052" s="1068" t="s">
        <v>190</v>
      </c>
      <c r="AA1052" s="1068" t="s">
        <v>190</v>
      </c>
      <c r="AB1052" s="1068" t="s">
        <v>190</v>
      </c>
      <c r="AC1052" s="694" t="s">
        <v>3997</v>
      </c>
      <c r="AD1052" s="1068" t="s">
        <v>190</v>
      </c>
      <c r="AE1052" s="1193">
        <v>36000</v>
      </c>
    </row>
    <row r="1053" spans="1:32" ht="15.6">
      <c r="A1053" s="1061">
        <v>44974</v>
      </c>
      <c r="B1053" s="1066" t="s">
        <v>210</v>
      </c>
      <c r="C1053" s="1072" t="s">
        <v>3995</v>
      </c>
      <c r="D1053" s="1072" t="s">
        <v>1073</v>
      </c>
      <c r="E1053" s="1066" t="s">
        <v>210</v>
      </c>
      <c r="F1053" s="1066" t="s">
        <v>190</v>
      </c>
      <c r="G1053" s="1066" t="s">
        <v>190</v>
      </c>
      <c r="H1053" s="1066" t="s">
        <v>190</v>
      </c>
      <c r="I1053" s="1066" t="s">
        <v>190</v>
      </c>
      <c r="J1053" s="1095" t="s">
        <v>1179</v>
      </c>
      <c r="K1053" s="1072" t="s">
        <v>1180</v>
      </c>
      <c r="L1053" s="1066" t="s">
        <v>190</v>
      </c>
      <c r="M1053" s="1066" t="s">
        <v>190</v>
      </c>
      <c r="N1053" s="1066" t="s">
        <v>190</v>
      </c>
      <c r="O1053" s="1142">
        <v>44305</v>
      </c>
      <c r="P1053" s="1142">
        <v>45443</v>
      </c>
      <c r="Q1053" s="1142">
        <v>45443</v>
      </c>
      <c r="R1053" s="1176">
        <v>36000</v>
      </c>
      <c r="S1053" s="1072" t="s">
        <v>1358</v>
      </c>
      <c r="T1053" s="1066" t="s">
        <v>190</v>
      </c>
      <c r="U1053" s="1066" t="s">
        <v>190</v>
      </c>
      <c r="V1053" s="1066"/>
      <c r="W1053" s="1072" t="s">
        <v>683</v>
      </c>
      <c r="X1053" s="1116" t="s">
        <v>1346</v>
      </c>
      <c r="Y1053" s="1116" t="s">
        <v>1266</v>
      </c>
      <c r="Z1053" s="1068" t="s">
        <v>190</v>
      </c>
      <c r="AA1053" s="1068" t="s">
        <v>190</v>
      </c>
      <c r="AB1053" s="1068" t="s">
        <v>190</v>
      </c>
      <c r="AC1053" s="694" t="s">
        <v>3998</v>
      </c>
      <c r="AD1053" s="1068" t="s">
        <v>190</v>
      </c>
      <c r="AE1053" s="1193">
        <v>36000</v>
      </c>
    </row>
    <row r="1054" spans="1:32" ht="72">
      <c r="A1054" s="1363"/>
      <c r="B1054" s="114"/>
      <c r="C1054" s="4" t="s">
        <v>3580</v>
      </c>
      <c r="D1054" s="5" t="s">
        <v>29</v>
      </c>
      <c r="E1054" s="5"/>
      <c r="F1054" s="5"/>
      <c r="G1054" s="5"/>
      <c r="H1054" s="5" t="s">
        <v>70</v>
      </c>
      <c r="I1054" s="5" t="s">
        <v>34</v>
      </c>
      <c r="J1054" s="16" t="s">
        <v>1044</v>
      </c>
      <c r="K1054" s="16"/>
      <c r="L1054" s="5" t="e">
        <f>IF(OR(S1054=#REF!,S1054=#REF!,S1054=#REF!,S1054=#REF!,S1054=#REF!,S1054=#REF!,S1054=#REF!,S1054=#REF!),12,IF(OR(S1054=#REF!,S1054=#REF!,S1054=#REF!,S1054=#REF!,S1054=#REF!,S1054=#REF!,S1054=#REF!),3,IF(S1054=#REF!,1,IF(S1054=#REF!,18,IF(OR(S1054=#REF!,S1054=#REF!,S1054=#REF!,S1054=#REF!,S1054=#REF!),14,"Invalid proposed procurement method")))))</f>
        <v>#REF!</v>
      </c>
      <c r="M1054" s="193" t="str">
        <f>IFERROR(EDATE($N1054,-3),"Invalid procurement method or date entered")</f>
        <v>Invalid procurement method or date entered</v>
      </c>
      <c r="N1054" s="193" t="s">
        <v>3281</v>
      </c>
      <c r="O1054" s="176">
        <v>44306</v>
      </c>
      <c r="P1054" s="12">
        <v>48</v>
      </c>
      <c r="Q1054" s="7"/>
      <c r="R1054" s="18">
        <v>18000</v>
      </c>
      <c r="S1054" s="16" t="s">
        <v>35</v>
      </c>
      <c r="T1054" s="5" t="s">
        <v>54</v>
      </c>
      <c r="U1054" s="14" t="s">
        <v>37</v>
      </c>
      <c r="V1054" s="14"/>
      <c r="W1054" s="12" t="s">
        <v>3999</v>
      </c>
      <c r="X1054" s="74" t="s">
        <v>453</v>
      </c>
      <c r="Y1054" s="74" t="s">
        <v>457</v>
      </c>
      <c r="Z1054" s="74" t="s">
        <v>95</v>
      </c>
      <c r="AA1054" s="74" t="s">
        <v>41</v>
      </c>
      <c r="AB1054" s="316" t="s">
        <v>1269</v>
      </c>
      <c r="AC1054" s="105" t="s">
        <v>4000</v>
      </c>
      <c r="AD1054" s="70" t="s">
        <v>74</v>
      </c>
      <c r="AE1054" s="306" t="s">
        <v>35</v>
      </c>
    </row>
    <row r="1055" spans="1:32" ht="72">
      <c r="A1055" s="1364"/>
      <c r="B1055" s="114"/>
      <c r="C1055" s="4" t="s">
        <v>35</v>
      </c>
      <c r="D1055" s="9" t="s">
        <v>29</v>
      </c>
      <c r="E1055" s="9"/>
      <c r="F1055" s="9"/>
      <c r="G1055" s="9"/>
      <c r="H1055" s="5" t="s">
        <v>70</v>
      </c>
      <c r="I1055" s="5" t="s">
        <v>34</v>
      </c>
      <c r="J1055" s="1351" t="s">
        <v>1222</v>
      </c>
      <c r="K1055" s="1351"/>
      <c r="L1055" s="5" t="e">
        <f>IF(OR(S1055=#REF!,S1055=#REF!,S1055=#REF!,S1055=#REF!,S1055=#REF!,S1055=#REF!,S1055=#REF!,S1055=#REF!),12,IF(OR(S1055=#REF!,S1055=#REF!,S1055=#REF!,S1055=#REF!,S1055=#REF!,S1055=#REF!,S1055=#REF!),3,IF(S1055=#REF!,1,IF(S1055=#REF!,18,IF(OR(S1055=#REF!,S1055=#REF!,S1055=#REF!,S1055=#REF!,S1055=#REF!),14,"Invalid proposed procurement method")))))</f>
        <v>#REF!</v>
      </c>
      <c r="M1055" s="193" t="str">
        <f>IFERROR(EDATE($N1055,-3),"Invalid procurement method or date entered")</f>
        <v>Invalid procurement method or date entered</v>
      </c>
      <c r="N1055" s="193" t="str">
        <f>IFERROR(EDATE(O1055,-L1055),"Invalid procurement method or date entered")</f>
        <v>Invalid procurement method or date entered</v>
      </c>
      <c r="O1055" s="1329">
        <v>44312</v>
      </c>
      <c r="P1055" s="1330">
        <v>12</v>
      </c>
      <c r="Q1055" s="1330">
        <v>12</v>
      </c>
      <c r="R1055" s="1353">
        <v>707.5</v>
      </c>
      <c r="S1055" s="1335" t="s">
        <v>909</v>
      </c>
      <c r="T1055" s="1330" t="s">
        <v>54</v>
      </c>
      <c r="U1055" s="1330" t="s">
        <v>37</v>
      </c>
      <c r="V1055" s="1330"/>
      <c r="W1055" s="5" t="s">
        <v>113</v>
      </c>
      <c r="X1055" s="1356" t="s">
        <v>73</v>
      </c>
      <c r="Y1055" s="1356" t="s">
        <v>59</v>
      </c>
      <c r="Z1055" s="74" t="s">
        <v>95</v>
      </c>
      <c r="AA1055" s="74" t="s">
        <v>54</v>
      </c>
      <c r="AB1055" s="316" t="s">
        <v>1269</v>
      </c>
      <c r="AC1055" s="1472" t="s">
        <v>1223</v>
      </c>
      <c r="AD1055" s="74" t="s">
        <v>114</v>
      </c>
      <c r="AE1055" s="306">
        <v>3250000</v>
      </c>
    </row>
    <row r="1056" spans="1:32" ht="52.8">
      <c r="A1056" s="852"/>
      <c r="B1056" s="520" t="s">
        <v>48</v>
      </c>
      <c r="C1056" s="465" t="s">
        <v>2331</v>
      </c>
      <c r="D1056" s="466" t="s">
        <v>82</v>
      </c>
      <c r="E1056" s="466"/>
      <c r="F1056" s="466"/>
      <c r="G1056" s="466"/>
      <c r="H1056" s="466" t="s">
        <v>49</v>
      </c>
      <c r="I1056" s="474" t="s">
        <v>34</v>
      </c>
      <c r="J1056" s="1024" t="s">
        <v>2332</v>
      </c>
      <c r="K1056" s="467"/>
      <c r="L1056" s="466">
        <v>12</v>
      </c>
      <c r="M1056" s="469">
        <f>IF(O1056="tbc","",(IFERROR(EDATE($N1056,-3),"Invalid procurement method or date entered")))</f>
        <v>43856</v>
      </c>
      <c r="N1056" s="469">
        <f>IF(O1056="tbc","",(IFERROR(EDATE(O1056,-L1056),"Invalid procurement method or date entered")))</f>
        <v>43947</v>
      </c>
      <c r="O1056" s="470">
        <v>44312</v>
      </c>
      <c r="P1056" s="471">
        <v>5</v>
      </c>
      <c r="Q1056" s="471">
        <v>5</v>
      </c>
      <c r="R1056" s="483">
        <v>370000</v>
      </c>
      <c r="S1056" s="470" t="s">
        <v>173</v>
      </c>
      <c r="T1056" s="470" t="s">
        <v>125</v>
      </c>
      <c r="U1056" s="470" t="s">
        <v>125</v>
      </c>
      <c r="V1056" s="470"/>
      <c r="W1056" s="513" t="s">
        <v>1299</v>
      </c>
    </row>
    <row r="1057" spans="1:31" ht="43.2">
      <c r="A1057" s="889"/>
      <c r="B1057" s="305"/>
      <c r="C1057" s="4" t="s">
        <v>35</v>
      </c>
      <c r="D1057" s="9" t="s">
        <v>29</v>
      </c>
      <c r="E1057" s="9"/>
      <c r="F1057" s="9"/>
      <c r="G1057" s="9"/>
      <c r="H1057" s="5" t="s">
        <v>70</v>
      </c>
      <c r="I1057" s="5" t="s">
        <v>34</v>
      </c>
      <c r="J1057" s="1035" t="s">
        <v>4001</v>
      </c>
      <c r="K1057" s="61"/>
      <c r="L1057" s="5">
        <v>6</v>
      </c>
      <c r="M1057" s="193">
        <f>IFERROR(EDATE($N1057,-3),"Invalid procurement method or date entered")</f>
        <v>44042</v>
      </c>
      <c r="N1057" s="193">
        <f>IFERROR(EDATE(O1057,-L1057),"Invalid procurement method or date entered")</f>
        <v>44134</v>
      </c>
      <c r="O1057" s="176">
        <v>44316</v>
      </c>
      <c r="P1057" s="12">
        <v>12</v>
      </c>
      <c r="Q1057" s="7" t="s">
        <v>108</v>
      </c>
      <c r="R1057" s="18">
        <v>466.2</v>
      </c>
      <c r="S1057" s="5" t="s">
        <v>909</v>
      </c>
      <c r="T1057" s="49" t="s">
        <v>54</v>
      </c>
      <c r="U1057" s="45" t="s">
        <v>37</v>
      </c>
      <c r="V1057" s="45"/>
      <c r="W1057" s="12" t="s">
        <v>301</v>
      </c>
      <c r="X1057" s="819" t="s">
        <v>73</v>
      </c>
      <c r="Y1057" s="74" t="s">
        <v>39</v>
      </c>
      <c r="Z1057" s="74" t="s">
        <v>95</v>
      </c>
      <c r="AA1057" s="74" t="s">
        <v>54</v>
      </c>
      <c r="AB1057" s="316" t="s">
        <v>1269</v>
      </c>
      <c r="AC1057" s="847"/>
      <c r="AD1057" s="74" t="s">
        <v>141</v>
      </c>
      <c r="AE1057" s="306">
        <v>466</v>
      </c>
    </row>
    <row r="1058" spans="1:31" ht="158.4">
      <c r="A1058" s="1364"/>
      <c r="B1058" s="1351"/>
      <c r="C1058" s="1351" t="s">
        <v>35</v>
      </c>
      <c r="D1058" s="5" t="s">
        <v>29</v>
      </c>
      <c r="E1058" s="5"/>
      <c r="F1058" s="5"/>
      <c r="G1058" s="5"/>
      <c r="H1058" s="5" t="s">
        <v>70</v>
      </c>
      <c r="I1058" s="15" t="s">
        <v>50</v>
      </c>
      <c r="J1058" s="1339" t="s">
        <v>3119</v>
      </c>
      <c r="K1058" s="1339"/>
      <c r="L1058" s="5">
        <v>1</v>
      </c>
      <c r="M1058" s="193">
        <f>IFERROR(EDATE($N1058,-3),"Invalid procurement method or date entered")</f>
        <v>44195</v>
      </c>
      <c r="N1058" s="193">
        <f>IFERROR(EDATE(O1058,-L1058),"Invalid procurement method or date entered")</f>
        <v>44285</v>
      </c>
      <c r="O1058" s="1329">
        <v>44316</v>
      </c>
      <c r="P1058" s="1330" t="s">
        <v>35</v>
      </c>
      <c r="Q1058" s="1330" t="s">
        <v>35</v>
      </c>
      <c r="R1058" s="1330" t="s">
        <v>35</v>
      </c>
      <c r="S1058" s="1339" t="s">
        <v>53</v>
      </c>
      <c r="T1058" s="1330" t="s">
        <v>54</v>
      </c>
      <c r="U1058" s="1330" t="s">
        <v>37</v>
      </c>
      <c r="V1058" s="1330"/>
      <c r="W1058" s="1330" t="s">
        <v>117</v>
      </c>
      <c r="X1058" s="1356" t="s">
        <v>1088</v>
      </c>
      <c r="Y1058" s="1356" t="s">
        <v>39</v>
      </c>
      <c r="Z1058" s="1356" t="s">
        <v>95</v>
      </c>
      <c r="AA1058" s="1356" t="s">
        <v>54</v>
      </c>
      <c r="AB1058" s="316" t="s">
        <v>1253</v>
      </c>
      <c r="AC1058" s="1341" t="s">
        <v>4002</v>
      </c>
      <c r="AD1058" s="74" t="s">
        <v>118</v>
      </c>
      <c r="AE1058" s="864">
        <v>10800</v>
      </c>
    </row>
    <row r="1059" spans="1:31" ht="72">
      <c r="A1059" s="887"/>
      <c r="B1059" s="114"/>
      <c r="C1059" s="4" t="s">
        <v>4003</v>
      </c>
      <c r="D1059" s="9" t="s">
        <v>29</v>
      </c>
      <c r="E1059" s="9"/>
      <c r="F1059" s="9"/>
      <c r="G1059" s="9"/>
      <c r="H1059" s="5" t="s">
        <v>70</v>
      </c>
      <c r="I1059" s="5" t="s">
        <v>34</v>
      </c>
      <c r="J1059" s="16" t="s">
        <v>966</v>
      </c>
      <c r="K1059" s="16"/>
      <c r="L1059" s="5" t="e">
        <f>IF(OR(S1059=#REF!,S1059=#REF!,S1059=#REF!,S1059=#REF!,S1059=#REF!,S1059=#REF!,S1059=#REF!,S1059=#REF!),12,IF(OR(S1059=#REF!,S1059=#REF!,S1059=#REF!,S1059=#REF!,S1059=#REF!,S1059=#REF!,S1059=#REF!),3,IF(S1059=#REF!,1,IF(S1059=#REF!,18,IF(OR(S1059=#REF!,S1059=#REF!,S1059=#REF!,S1059=#REF!,S1059=#REF!),14,"Invalid proposed procurement method")))))</f>
        <v>#REF!</v>
      </c>
      <c r="M1059" s="193">
        <v>44209</v>
      </c>
      <c r="N1059" s="193" t="str">
        <f>IFERROR(EDATE(O1059,-L1059),"Invalid procurement method or date entered")</f>
        <v>Invalid procurement method or date entered</v>
      </c>
      <c r="O1059" s="176">
        <v>44316</v>
      </c>
      <c r="P1059" s="12">
        <v>36</v>
      </c>
      <c r="Q1059" s="12">
        <v>36</v>
      </c>
      <c r="R1059" s="18">
        <v>32219.59</v>
      </c>
      <c r="S1059" s="5" t="s">
        <v>109</v>
      </c>
      <c r="T1059" s="5" t="s">
        <v>54</v>
      </c>
      <c r="U1059" s="12" t="s">
        <v>37</v>
      </c>
      <c r="V1059" s="12"/>
      <c r="W1059" s="43" t="s">
        <v>301</v>
      </c>
      <c r="X1059" s="74" t="s">
        <v>1091</v>
      </c>
      <c r="Y1059" s="74" t="s">
        <v>457</v>
      </c>
      <c r="Z1059" s="74"/>
      <c r="AA1059" s="74"/>
      <c r="AB1059" s="316" t="s">
        <v>1269</v>
      </c>
      <c r="AC1059" s="95" t="s">
        <v>4004</v>
      </c>
      <c r="AD1059" s="74" t="s">
        <v>141</v>
      </c>
      <c r="AE1059" s="204"/>
    </row>
    <row r="1060" spans="1:31" ht="86.4">
      <c r="A1060" s="888"/>
      <c r="B1060" s="305"/>
      <c r="C1060" s="10" t="s">
        <v>1314</v>
      </c>
      <c r="D1060" s="5" t="s">
        <v>29</v>
      </c>
      <c r="E1060" s="5"/>
      <c r="F1060" s="5"/>
      <c r="G1060" s="5"/>
      <c r="H1060" s="5" t="s">
        <v>70</v>
      </c>
      <c r="I1060" s="5" t="s">
        <v>34</v>
      </c>
      <c r="J1060" s="16" t="s">
        <v>4005</v>
      </c>
      <c r="K1060" s="16"/>
      <c r="L1060" s="5" t="e">
        <f>IF(OR(S1060=#REF!,S1060=#REF!,S1060=#REF!,S1060=#REF!,S1060=#REF!,S1060=#REF!,S1060=#REF!,S1060=#REF!),12,IF(OR(S1060=#REF!,S1060=#REF!,S1060=#REF!,S1060=#REF!,S1060=#REF!,S1060=#REF!,S1060=#REF!),3,IF(S1060=#REF!,1,IF(S1060=#REF!,18,IF(OR(S1060=#REF!,S1060=#REF!,S1060=#REF!,S1060=#REF!,S1060=#REF!),14,"Invalid proposed procurement method")))))</f>
        <v>#REF!</v>
      </c>
      <c r="M1060" s="193" t="str">
        <f>IFERROR(EDATE($N1060,-3),"Invalid procurement method or date entered")</f>
        <v>Invalid procurement method or date entered</v>
      </c>
      <c r="N1060" s="193" t="str">
        <f>IFERROR(EDATE(O1060,-L1060),"Invalid procurement method or date entered")</f>
        <v>Invalid procurement method or date entered</v>
      </c>
      <c r="O1060" s="14">
        <v>44317</v>
      </c>
      <c r="P1060" s="12">
        <v>35</v>
      </c>
      <c r="Q1060" s="5" t="s">
        <v>4006</v>
      </c>
      <c r="R1060" s="18">
        <v>184652</v>
      </c>
      <c r="S1060" s="5" t="s">
        <v>109</v>
      </c>
      <c r="T1060" s="14" t="s">
        <v>36</v>
      </c>
      <c r="U1060" s="14" t="s">
        <v>37</v>
      </c>
      <c r="V1060" s="14"/>
      <c r="W1060" s="5" t="s">
        <v>420</v>
      </c>
      <c r="X1060" s="74" t="s">
        <v>1091</v>
      </c>
      <c r="Y1060" s="74" t="s">
        <v>457</v>
      </c>
      <c r="Z1060" s="74"/>
      <c r="AA1060" s="74" t="s">
        <v>41</v>
      </c>
      <c r="AB1060" s="316" t="s">
        <v>1082</v>
      </c>
      <c r="AC1060" s="95" t="s">
        <v>4007</v>
      </c>
      <c r="AD1060" s="70" t="s">
        <v>63</v>
      </c>
      <c r="AE1060" s="191" t="s">
        <v>3691</v>
      </c>
    </row>
    <row r="1061" spans="1:31" ht="72">
      <c r="A1061" s="888"/>
      <c r="B1061" s="305"/>
      <c r="C1061" s="4" t="s">
        <v>3211</v>
      </c>
      <c r="D1061" s="5" t="s">
        <v>29</v>
      </c>
      <c r="E1061" s="5"/>
      <c r="F1061" s="5"/>
      <c r="G1061" s="5"/>
      <c r="H1061" s="5" t="s">
        <v>70</v>
      </c>
      <c r="I1061" s="5" t="s">
        <v>34</v>
      </c>
      <c r="J1061" s="16" t="s">
        <v>3169</v>
      </c>
      <c r="K1061" s="8"/>
      <c r="L1061" s="8"/>
      <c r="M1061" s="193">
        <v>43922</v>
      </c>
      <c r="N1061" s="193"/>
      <c r="O1061" s="176">
        <v>44317</v>
      </c>
      <c r="P1061" s="12">
        <v>6</v>
      </c>
      <c r="Q1061" s="12">
        <v>6</v>
      </c>
      <c r="R1061" s="12">
        <v>6</v>
      </c>
      <c r="S1061" s="5" t="s">
        <v>909</v>
      </c>
      <c r="T1061" s="39" t="s">
        <v>54</v>
      </c>
      <c r="U1061" s="12" t="s">
        <v>37</v>
      </c>
      <c r="V1061" s="12"/>
      <c r="W1061" s="5" t="s">
        <v>4008</v>
      </c>
      <c r="X1061" s="74" t="s">
        <v>1053</v>
      </c>
      <c r="Y1061" s="74" t="s">
        <v>457</v>
      </c>
      <c r="Z1061" s="74"/>
      <c r="AA1061" s="1357"/>
      <c r="AB1061" s="316" t="s">
        <v>3429</v>
      </c>
      <c r="AC1061" s="95" t="s">
        <v>4009</v>
      </c>
      <c r="AD1061" s="70" t="s">
        <v>3483</v>
      </c>
      <c r="AE1061" s="1357"/>
    </row>
    <row r="1062" spans="1:31" ht="43.2">
      <c r="A1062" s="889"/>
      <c r="B1062" s="4"/>
      <c r="C1062" s="4" t="s">
        <v>35</v>
      </c>
      <c r="D1062" s="9" t="s">
        <v>29</v>
      </c>
      <c r="E1062" s="9"/>
      <c r="F1062" s="9"/>
      <c r="G1062" s="9"/>
      <c r="H1062" s="5" t="s">
        <v>171</v>
      </c>
      <c r="I1062" s="5" t="s">
        <v>34</v>
      </c>
      <c r="J1062" s="16" t="s">
        <v>4010</v>
      </c>
      <c r="K1062" s="16"/>
      <c r="L1062" s="5">
        <v>6</v>
      </c>
      <c r="M1062" s="193">
        <f t="shared" ref="M1062:M1067" si="9">IFERROR(EDATE($N1062,-3),"Invalid procurement method or date entered")</f>
        <v>44044</v>
      </c>
      <c r="N1062" s="193">
        <f t="shared" ref="N1062:N1067" si="10">IFERROR(EDATE(O1062,-L1062),"Invalid procurement method or date entered")</f>
        <v>44136</v>
      </c>
      <c r="O1062" s="176">
        <v>44317</v>
      </c>
      <c r="P1062" s="12">
        <v>3</v>
      </c>
      <c r="Q1062" s="13" t="s">
        <v>2913</v>
      </c>
      <c r="R1062" s="18">
        <v>10500</v>
      </c>
      <c r="S1062" s="5" t="s">
        <v>909</v>
      </c>
      <c r="T1062" s="5" t="s">
        <v>54</v>
      </c>
      <c r="U1062" s="12" t="s">
        <v>37</v>
      </c>
      <c r="V1062" s="12"/>
      <c r="W1062" s="5" t="s">
        <v>4011</v>
      </c>
      <c r="X1062" s="74" t="s">
        <v>1097</v>
      </c>
      <c r="Y1062" s="74" t="s">
        <v>457</v>
      </c>
      <c r="Z1062" s="74" t="s">
        <v>95</v>
      </c>
      <c r="AA1062" s="74" t="s">
        <v>54</v>
      </c>
      <c r="AB1062" s="316" t="s">
        <v>1269</v>
      </c>
      <c r="AC1062" s="95" t="s">
        <v>4012</v>
      </c>
      <c r="AD1062" s="70" t="s">
        <v>171</v>
      </c>
      <c r="AE1062" s="204">
        <v>10500</v>
      </c>
    </row>
    <row r="1063" spans="1:31" ht="72">
      <c r="A1063" s="1363"/>
      <c r="B1063" s="4"/>
      <c r="C1063" s="141" t="s">
        <v>367</v>
      </c>
      <c r="D1063" s="5" t="s">
        <v>82</v>
      </c>
      <c r="E1063" s="30"/>
      <c r="F1063" s="30"/>
      <c r="G1063" s="30"/>
      <c r="H1063" s="30" t="s">
        <v>70</v>
      </c>
      <c r="I1063" s="5" t="s">
        <v>34</v>
      </c>
      <c r="J1063" s="16" t="s">
        <v>368</v>
      </c>
      <c r="K1063" s="8"/>
      <c r="L1063" s="5" t="e">
        <f>IF(OR(S1063=#REF!,S1063=#REF!,S1063=#REF!,S1063=#REF!,S1063=#REF!,S1063=#REF!,S1063=#REF!,S1063=#REF!),12,IF(OR(S1063=#REF!,S1063=#REF!,S1063=#REF!,S1063=#REF!,S1063=#REF!,S1063=#REF!,S1063=#REF!),3,IF(S1063=#REF!,1,IF(S1063=#REF!,18,IF(OR(S1063=#REF!,S1063=#REF!,S1063=#REF!,S1063=#REF!,S1063=#REF!),14,"Invalid proposed procurement method")))))</f>
        <v>#REF!</v>
      </c>
      <c r="M1063" s="193" t="str">
        <f t="shared" si="9"/>
        <v>Invalid procurement method or date entered</v>
      </c>
      <c r="N1063" s="193" t="str">
        <f t="shared" si="10"/>
        <v>Invalid procurement method or date entered</v>
      </c>
      <c r="O1063" s="176">
        <v>44317</v>
      </c>
      <c r="P1063" s="12">
        <v>48</v>
      </c>
      <c r="Q1063" s="5" t="s">
        <v>191</v>
      </c>
      <c r="R1063" s="18">
        <v>120000</v>
      </c>
      <c r="S1063" s="5" t="s">
        <v>173</v>
      </c>
      <c r="T1063" s="50" t="s">
        <v>36</v>
      </c>
      <c r="U1063" s="50" t="s">
        <v>37</v>
      </c>
      <c r="V1063" s="50"/>
      <c r="W1063" s="5" t="s">
        <v>369</v>
      </c>
      <c r="X1063" s="74" t="s">
        <v>1053</v>
      </c>
      <c r="Y1063" s="74" t="s">
        <v>457</v>
      </c>
      <c r="Z1063" s="74" t="s">
        <v>40</v>
      </c>
      <c r="AA1063" s="74" t="s">
        <v>41</v>
      </c>
      <c r="AB1063" s="316" t="s">
        <v>1269</v>
      </c>
      <c r="AC1063" s="95" t="s">
        <v>4013</v>
      </c>
      <c r="AD1063" s="74" t="s">
        <v>85</v>
      </c>
      <c r="AE1063" s="204">
        <v>30000</v>
      </c>
    </row>
    <row r="1064" spans="1:31" ht="43.2">
      <c r="A1064" s="1364"/>
      <c r="B1064" s="1330"/>
      <c r="C1064" s="1354" t="s">
        <v>4014</v>
      </c>
      <c r="D1064" s="1330" t="s">
        <v>29</v>
      </c>
      <c r="E1064" s="1330"/>
      <c r="F1064" s="1330"/>
      <c r="G1064" s="1330"/>
      <c r="H1064" s="1330" t="s">
        <v>364</v>
      </c>
      <c r="I1064" s="1330" t="s">
        <v>34</v>
      </c>
      <c r="J1064" s="1339" t="s">
        <v>1329</v>
      </c>
      <c r="K1064" s="1335"/>
      <c r="L1064" s="1330">
        <v>3</v>
      </c>
      <c r="M1064" s="193">
        <f t="shared" si="9"/>
        <v>44136</v>
      </c>
      <c r="N1064" s="193">
        <f t="shared" si="10"/>
        <v>44228</v>
      </c>
      <c r="O1064" s="1329">
        <v>44317</v>
      </c>
      <c r="P1064" s="1330">
        <v>30</v>
      </c>
      <c r="Q1064" s="1330" t="s">
        <v>3542</v>
      </c>
      <c r="R1064" s="1353">
        <v>84000</v>
      </c>
      <c r="S1064" s="1335" t="s">
        <v>217</v>
      </c>
      <c r="T1064" s="1330" t="s">
        <v>54</v>
      </c>
      <c r="U1064" s="1330" t="s">
        <v>37</v>
      </c>
      <c r="V1064" s="1330"/>
      <c r="W1064" s="1330" t="s">
        <v>1309</v>
      </c>
      <c r="X1064" s="1356" t="s">
        <v>94</v>
      </c>
      <c r="Y1064" s="1356" t="s">
        <v>457</v>
      </c>
      <c r="Z1064" s="1356"/>
      <c r="AA1064" s="1356" t="s">
        <v>41</v>
      </c>
      <c r="AB1064" s="316" t="s">
        <v>1269</v>
      </c>
      <c r="AC1064" s="1342" t="s">
        <v>4015</v>
      </c>
      <c r="AD1064" s="1356" t="s">
        <v>1330</v>
      </c>
      <c r="AE1064" s="1356"/>
    </row>
    <row r="1065" spans="1:31" ht="72">
      <c r="A1065" s="1363"/>
      <c r="B1065" s="4"/>
      <c r="C1065" s="4" t="s">
        <v>1262</v>
      </c>
      <c r="D1065" s="9" t="s">
        <v>29</v>
      </c>
      <c r="E1065" s="9"/>
      <c r="F1065" s="9"/>
      <c r="G1065" s="9"/>
      <c r="H1065" s="9" t="s">
        <v>70</v>
      </c>
      <c r="I1065" s="5" t="s">
        <v>50</v>
      </c>
      <c r="J1065" s="257" t="s">
        <v>314</v>
      </c>
      <c r="K1065" s="257"/>
      <c r="L1065" s="5" t="e">
        <f>IF(OR(S1065=#REF!,S1065=#REF!,S1065=#REF!,S1065=#REF!,S1065=#REF!,S1065=#REF!,S1065=#REF!,S1065=#REF!),12,IF(OR(S1065=#REF!,S1065=#REF!,S1065=#REF!,S1065=#REF!,S1065=#REF!,S1065=#REF!,S1065=#REF!),3,IF(S1065=#REF!,1,IF(S1065=#REF!,18,IF(OR(S1065=#REF!,S1065=#REF!,S1065=#REF!,S1065=#REF!,S1065=#REF!),14,"Invalid proposed procurement method")))))</f>
        <v>#REF!</v>
      </c>
      <c r="M1065" s="193" t="str">
        <f t="shared" si="9"/>
        <v>Invalid procurement method or date entered</v>
      </c>
      <c r="N1065" s="193" t="str">
        <f t="shared" si="10"/>
        <v>Invalid procurement method or date entered</v>
      </c>
      <c r="O1065" s="176">
        <v>44317</v>
      </c>
      <c r="P1065" s="12"/>
      <c r="Q1065" s="12"/>
      <c r="R1065" s="39">
        <v>96000</v>
      </c>
      <c r="S1065" s="177" t="s">
        <v>53</v>
      </c>
      <c r="T1065" s="49" t="s">
        <v>36</v>
      </c>
      <c r="U1065" s="45" t="s">
        <v>37</v>
      </c>
      <c r="V1065" s="45"/>
      <c r="W1065" s="12" t="s">
        <v>3187</v>
      </c>
      <c r="X1065" s="74" t="s">
        <v>1088</v>
      </c>
      <c r="Y1065" s="74" t="s">
        <v>457</v>
      </c>
      <c r="Z1065" s="74" t="s">
        <v>40</v>
      </c>
      <c r="AA1065" s="74" t="s">
        <v>54</v>
      </c>
      <c r="AB1065" s="316" t="s">
        <v>1253</v>
      </c>
      <c r="AC1065" s="747" t="s">
        <v>1284</v>
      </c>
      <c r="AD1065" s="74" t="s">
        <v>74</v>
      </c>
      <c r="AE1065" s="1356"/>
    </row>
    <row r="1066" spans="1:31" ht="86.4">
      <c r="A1066" s="1363"/>
      <c r="B1066" s="4"/>
      <c r="C1066" s="4" t="s">
        <v>4016</v>
      </c>
      <c r="D1066" s="9" t="s">
        <v>29</v>
      </c>
      <c r="E1066" s="9"/>
      <c r="F1066" s="9"/>
      <c r="G1066" s="9"/>
      <c r="H1066" s="9" t="s">
        <v>70</v>
      </c>
      <c r="I1066" s="15" t="s">
        <v>34</v>
      </c>
      <c r="J1066" s="16" t="s">
        <v>4017</v>
      </c>
      <c r="K1066" s="16"/>
      <c r="L1066" s="5" t="e">
        <f>IF(OR(S1066=#REF!,S1066=#REF!,S1066=#REF!,S1066=#REF!,S1066=#REF!,S1066=#REF!,S1066=#REF!,S1066=#REF!),12,IF(OR(S1066=#REF!,S1066=#REF!,S1066=#REF!,S1066=#REF!,S1066=#REF!,S1066=#REF!,S1066=#REF!),3,IF(S1066=#REF!,1,IF(S1066=#REF!,18,IF(OR(S1066=#REF!,S1066=#REF!,S1066=#REF!,S1066=#REF!,S1066=#REF!),14,"Invalid proposed procurement method")))))</f>
        <v>#REF!</v>
      </c>
      <c r="M1066" s="193" t="str">
        <f t="shared" si="9"/>
        <v>Invalid procurement method or date entered</v>
      </c>
      <c r="N1066" s="193" t="str">
        <f t="shared" si="10"/>
        <v>Invalid procurement method or date entered</v>
      </c>
      <c r="O1066" s="46">
        <v>44317</v>
      </c>
      <c r="P1066" s="15">
        <v>12</v>
      </c>
      <c r="Q1066" s="258" t="s">
        <v>108</v>
      </c>
      <c r="R1066" s="18">
        <v>17640</v>
      </c>
      <c r="S1066" s="5" t="s">
        <v>909</v>
      </c>
      <c r="T1066" s="9" t="s">
        <v>54</v>
      </c>
      <c r="U1066" s="15" t="s">
        <v>37</v>
      </c>
      <c r="V1066" s="15"/>
      <c r="W1066" s="9" t="s">
        <v>1121</v>
      </c>
      <c r="X1066" s="74" t="s">
        <v>1091</v>
      </c>
      <c r="Y1066" s="74" t="s">
        <v>457</v>
      </c>
      <c r="Z1066" s="74" t="s">
        <v>95</v>
      </c>
      <c r="AA1066" s="820" t="s">
        <v>54</v>
      </c>
      <c r="AB1066" s="316">
        <v>44312</v>
      </c>
      <c r="AC1066" s="95" t="s">
        <v>4018</v>
      </c>
      <c r="AD1066" s="74" t="s">
        <v>96</v>
      </c>
      <c r="AE1066" s="306"/>
    </row>
    <row r="1067" spans="1:31" ht="72">
      <c r="A1067" s="888"/>
      <c r="B1067" s="305"/>
      <c r="C1067" s="16" t="s">
        <v>546</v>
      </c>
      <c r="D1067" s="5" t="s">
        <v>60</v>
      </c>
      <c r="E1067" s="5"/>
      <c r="F1067" s="5"/>
      <c r="G1067" s="5"/>
      <c r="H1067" s="5" t="s">
        <v>171</v>
      </c>
      <c r="I1067" s="5" t="s">
        <v>34</v>
      </c>
      <c r="J1067" s="16" t="s">
        <v>547</v>
      </c>
      <c r="K1067" s="16"/>
      <c r="L1067" s="5" t="e">
        <f>IF(OR(S1067=#REF!,S1067=#REF!,S1067=#REF!,S1067=#REF!,S1067=#REF!,S1067=#REF!,S1067=#REF!,S1067=#REF!),12,IF(OR(S1067=#REF!,S1067=#REF!,S1067=#REF!,S1067=#REF!,S1067=#REF!,S1067=#REF!,S1067=#REF!),3,IF(S1067=#REF!,1,IF(S1067=#REF!,18,IF(OR(S1067=#REF!,S1067=#REF!,S1067=#REF!,S1067=#REF!,S1067=#REF!),14,"Invalid proposed procurement method")))))</f>
        <v>#REF!</v>
      </c>
      <c r="M1067" s="193" t="str">
        <f t="shared" si="9"/>
        <v>Invalid procurement method or date entered</v>
      </c>
      <c r="N1067" s="193" t="str">
        <f t="shared" si="10"/>
        <v>Invalid procurement method or date entered</v>
      </c>
      <c r="O1067" s="193">
        <v>44317</v>
      </c>
      <c r="P1067" s="5">
        <v>60</v>
      </c>
      <c r="Q1067" s="7" t="s">
        <v>358</v>
      </c>
      <c r="R1067" s="18">
        <v>400000</v>
      </c>
      <c r="S1067" s="5" t="s">
        <v>46</v>
      </c>
      <c r="T1067" s="48" t="s">
        <v>36</v>
      </c>
      <c r="U1067" s="48" t="s">
        <v>37</v>
      </c>
      <c r="V1067" s="48"/>
      <c r="W1067" s="5" t="s">
        <v>174</v>
      </c>
      <c r="X1067" s="819" t="s">
        <v>90</v>
      </c>
      <c r="Y1067" s="74" t="s">
        <v>39</v>
      </c>
      <c r="Z1067" s="74"/>
      <c r="AA1067" s="74" t="s">
        <v>54</v>
      </c>
      <c r="AB1067" s="316" t="s">
        <v>1269</v>
      </c>
      <c r="AC1067" s="95" t="s">
        <v>399</v>
      </c>
      <c r="AD1067" s="70" t="s">
        <v>171</v>
      </c>
      <c r="AE1067" s="204"/>
    </row>
    <row r="1068" spans="1:31">
      <c r="A1068" s="888"/>
      <c r="B1068" s="323" t="s">
        <v>145</v>
      </c>
      <c r="C1068" s="303"/>
      <c r="D1068" s="8" t="s">
        <v>92</v>
      </c>
      <c r="E1068" s="112"/>
      <c r="F1068" s="112"/>
      <c r="G1068" s="112"/>
      <c r="H1068" s="112" t="s">
        <v>148</v>
      </c>
      <c r="I1068" s="8" t="s">
        <v>34</v>
      </c>
      <c r="J1068" s="16" t="s">
        <v>4019</v>
      </c>
      <c r="K1068" s="8"/>
      <c r="L1068" s="114"/>
      <c r="M1068" s="114"/>
      <c r="N1068" s="114"/>
      <c r="O1068" s="328">
        <v>44317</v>
      </c>
      <c r="P1068" s="114"/>
      <c r="Q1068" s="114"/>
      <c r="R1068" s="414">
        <v>10000</v>
      </c>
      <c r="S1068" s="356" t="s">
        <v>163</v>
      </c>
      <c r="T1068" s="326" t="s">
        <v>54</v>
      </c>
      <c r="U1068" s="326" t="s">
        <v>43</v>
      </c>
      <c r="V1068" s="326"/>
      <c r="W1068" s="114" t="s">
        <v>4020</v>
      </c>
      <c r="X1068" t="s">
        <v>1119</v>
      </c>
      <c r="Y1068" t="s">
        <v>39</v>
      </c>
      <c r="AA1068" s="833"/>
      <c r="AC1068" s="852">
        <v>44333</v>
      </c>
      <c r="AD1068" s="852"/>
      <c r="AE1068" s="852"/>
    </row>
    <row r="1069" spans="1:31" ht="66">
      <c r="A1069" s="852"/>
      <c r="B1069" s="520" t="s">
        <v>48</v>
      </c>
      <c r="C1069" s="465"/>
      <c r="D1069" s="466" t="s">
        <v>60</v>
      </c>
      <c r="E1069" s="466"/>
      <c r="F1069" s="466"/>
      <c r="G1069" s="466"/>
      <c r="H1069" s="466" t="s">
        <v>127</v>
      </c>
      <c r="I1069" s="465" t="s">
        <v>34</v>
      </c>
      <c r="J1069" s="1025" t="s">
        <v>2292</v>
      </c>
      <c r="K1069" s="488"/>
      <c r="L1069" s="466">
        <v>3</v>
      </c>
      <c r="M1069" s="469">
        <f t="shared" ref="M1069:M1074" si="11">IF(O1069="tbc","",(IFERROR(EDATE($N1069,-3),"Invalid procurement method or date entered")))</f>
        <v>44136</v>
      </c>
      <c r="N1069" s="469">
        <f t="shared" ref="N1069:N1074" si="12">IF(O1069="tbc","",(IFERROR(EDATE(O1069,-L1069),"Invalid procurement method or date entered")))</f>
        <v>44228</v>
      </c>
      <c r="O1069" s="489">
        <v>44317</v>
      </c>
      <c r="P1069" s="490" t="s">
        <v>125</v>
      </c>
      <c r="Q1069" s="490" t="s">
        <v>125</v>
      </c>
      <c r="R1069" s="483">
        <v>250000</v>
      </c>
      <c r="S1069" s="470" t="s">
        <v>129</v>
      </c>
      <c r="T1069" s="470"/>
      <c r="U1069" s="470" t="s">
        <v>125</v>
      </c>
      <c r="V1069" s="470"/>
      <c r="W1069" s="465" t="s">
        <v>2190</v>
      </c>
    </row>
    <row r="1070" spans="1:31" ht="52.8">
      <c r="A1070" s="852"/>
      <c r="B1070" s="520" t="s">
        <v>48</v>
      </c>
      <c r="C1070" s="465" t="s">
        <v>2315</v>
      </c>
      <c r="D1070" s="466" t="s">
        <v>60</v>
      </c>
      <c r="E1070" s="466"/>
      <c r="F1070" s="466"/>
      <c r="G1070" s="466"/>
      <c r="H1070" s="466" t="s">
        <v>127</v>
      </c>
      <c r="I1070" s="465" t="s">
        <v>64</v>
      </c>
      <c r="J1070" s="1025" t="s">
        <v>2316</v>
      </c>
      <c r="K1070" s="488"/>
      <c r="L1070" s="466">
        <v>12</v>
      </c>
      <c r="M1070" s="469">
        <f t="shared" si="11"/>
        <v>43862</v>
      </c>
      <c r="N1070" s="469">
        <f t="shared" si="12"/>
        <v>43952</v>
      </c>
      <c r="O1070" s="489">
        <v>44317</v>
      </c>
      <c r="P1070" s="490">
        <f>36+24+24</f>
        <v>84</v>
      </c>
      <c r="Q1070" s="490" t="s">
        <v>573</v>
      </c>
      <c r="R1070" s="483">
        <f>150000*7</f>
        <v>1050000</v>
      </c>
      <c r="S1070" s="465" t="s">
        <v>66</v>
      </c>
      <c r="T1070" s="470" t="s">
        <v>144</v>
      </c>
      <c r="U1070" s="470" t="s">
        <v>125</v>
      </c>
      <c r="V1070" s="470"/>
      <c r="W1070" s="513" t="s">
        <v>1299</v>
      </c>
    </row>
    <row r="1071" spans="1:31" ht="52.8">
      <c r="A1071" s="852"/>
      <c r="B1071" s="520" t="s">
        <v>48</v>
      </c>
      <c r="C1071" s="465" t="s">
        <v>2365</v>
      </c>
      <c r="D1071" s="466" t="s">
        <v>82</v>
      </c>
      <c r="E1071" s="466"/>
      <c r="F1071" s="466"/>
      <c r="G1071" s="466"/>
      <c r="H1071" s="466" t="s">
        <v>49</v>
      </c>
      <c r="I1071" s="474" t="s">
        <v>34</v>
      </c>
      <c r="J1071" s="1024" t="s">
        <v>2366</v>
      </c>
      <c r="K1071" s="467"/>
      <c r="L1071" s="466">
        <v>1</v>
      </c>
      <c r="M1071" s="469">
        <f t="shared" si="11"/>
        <v>44197</v>
      </c>
      <c r="N1071" s="469">
        <f t="shared" si="12"/>
        <v>44287</v>
      </c>
      <c r="O1071" s="470">
        <v>44317</v>
      </c>
      <c r="P1071" s="471" t="s">
        <v>125</v>
      </c>
      <c r="Q1071" s="471" t="s">
        <v>125</v>
      </c>
      <c r="R1071" s="483">
        <v>790000</v>
      </c>
      <c r="S1071" s="470" t="s">
        <v>173</v>
      </c>
      <c r="T1071" s="470" t="s">
        <v>36</v>
      </c>
      <c r="U1071" s="470" t="s">
        <v>125</v>
      </c>
      <c r="V1071" s="470"/>
      <c r="W1071" s="513" t="s">
        <v>1299</v>
      </c>
    </row>
    <row r="1072" spans="1:31" ht="66">
      <c r="A1072" s="852"/>
      <c r="B1072" s="520" t="s">
        <v>48</v>
      </c>
      <c r="C1072" s="465" t="s">
        <v>2461</v>
      </c>
      <c r="D1072" s="466" t="s">
        <v>214</v>
      </c>
      <c r="E1072" s="466"/>
      <c r="F1072" s="466"/>
      <c r="G1072" s="466"/>
      <c r="H1072" s="466" t="s">
        <v>127</v>
      </c>
      <c r="I1072" s="465" t="s">
        <v>34</v>
      </c>
      <c r="J1072" s="1025" t="s">
        <v>2462</v>
      </c>
      <c r="K1072" s="744"/>
      <c r="L1072" s="466">
        <v>3</v>
      </c>
      <c r="M1072" s="469">
        <f t="shared" si="11"/>
        <v>44136</v>
      </c>
      <c r="N1072" s="469">
        <f t="shared" si="12"/>
        <v>44228</v>
      </c>
      <c r="O1072" s="489">
        <v>44317</v>
      </c>
      <c r="P1072" s="490">
        <v>2</v>
      </c>
      <c r="Q1072" s="490">
        <v>2</v>
      </c>
      <c r="R1072" s="483">
        <v>1469000</v>
      </c>
      <c r="S1072" s="470" t="s">
        <v>129</v>
      </c>
      <c r="T1072" s="470" t="s">
        <v>898</v>
      </c>
      <c r="U1072" s="470" t="s">
        <v>125</v>
      </c>
      <c r="V1072" s="470"/>
      <c r="W1072" s="354" t="s">
        <v>41</v>
      </c>
    </row>
    <row r="1073" spans="1:31" ht="66">
      <c r="A1073" s="852"/>
      <c r="B1073" s="520" t="s">
        <v>48</v>
      </c>
      <c r="C1073" s="466" t="s">
        <v>2303</v>
      </c>
      <c r="D1073" s="466" t="s">
        <v>60</v>
      </c>
      <c r="E1073" s="466"/>
      <c r="F1073" s="466"/>
      <c r="G1073" s="466"/>
      <c r="H1073" s="466" t="s">
        <v>127</v>
      </c>
      <c r="I1073" s="474" t="s">
        <v>34</v>
      </c>
      <c r="J1073" s="549" t="s">
        <v>2304</v>
      </c>
      <c r="K1073" s="484"/>
      <c r="L1073" s="466">
        <v>3</v>
      </c>
      <c r="M1073" s="469">
        <f t="shared" si="11"/>
        <v>44139</v>
      </c>
      <c r="N1073" s="469">
        <f t="shared" si="12"/>
        <v>44231</v>
      </c>
      <c r="O1073" s="469">
        <v>44320</v>
      </c>
      <c r="P1073" s="491" t="s">
        <v>125</v>
      </c>
      <c r="Q1073" s="491" t="s">
        <v>125</v>
      </c>
      <c r="R1073" s="493">
        <v>2405742.6</v>
      </c>
      <c r="S1073" s="470" t="s">
        <v>129</v>
      </c>
      <c r="T1073" s="470" t="s">
        <v>144</v>
      </c>
      <c r="U1073" s="466" t="s">
        <v>125</v>
      </c>
      <c r="V1073" s="466"/>
      <c r="W1073" s="475"/>
    </row>
    <row r="1074" spans="1:31" ht="92.4">
      <c r="A1074" s="852"/>
      <c r="B1074" s="520" t="s">
        <v>48</v>
      </c>
      <c r="C1074" s="465"/>
      <c r="D1074" s="466" t="s">
        <v>60</v>
      </c>
      <c r="E1074" s="466"/>
      <c r="F1074" s="466"/>
      <c r="G1074" s="466"/>
      <c r="H1074" s="466" t="s">
        <v>127</v>
      </c>
      <c r="I1074" s="465" t="s">
        <v>34</v>
      </c>
      <c r="J1074" s="1025" t="s">
        <v>2297</v>
      </c>
      <c r="K1074" s="488"/>
      <c r="L1074" s="466">
        <v>3</v>
      </c>
      <c r="M1074" s="469">
        <f t="shared" si="11"/>
        <v>44145</v>
      </c>
      <c r="N1074" s="469">
        <f t="shared" si="12"/>
        <v>44237</v>
      </c>
      <c r="O1074" s="489">
        <v>44326</v>
      </c>
      <c r="P1074" s="490" t="s">
        <v>125</v>
      </c>
      <c r="Q1074" s="490" t="s">
        <v>125</v>
      </c>
      <c r="R1074" s="483">
        <v>905381</v>
      </c>
      <c r="S1074" s="470" t="s">
        <v>129</v>
      </c>
      <c r="T1074" s="470" t="s">
        <v>144</v>
      </c>
      <c r="U1074" s="470" t="s">
        <v>125</v>
      </c>
      <c r="V1074" s="470"/>
      <c r="W1074" s="465" t="s">
        <v>2190</v>
      </c>
    </row>
    <row r="1075" spans="1:31" ht="72">
      <c r="A1075" s="1363"/>
      <c r="B1075" s="4"/>
      <c r="C1075" s="4" t="s">
        <v>1300</v>
      </c>
      <c r="D1075" s="5" t="s">
        <v>29</v>
      </c>
      <c r="E1075" s="5"/>
      <c r="F1075" s="5"/>
      <c r="G1075" s="5"/>
      <c r="H1075" s="5" t="s">
        <v>70</v>
      </c>
      <c r="I1075" s="5" t="s">
        <v>34</v>
      </c>
      <c r="J1075" s="16" t="s">
        <v>1192</v>
      </c>
      <c r="K1075" s="8"/>
      <c r="L1075" s="5" t="e">
        <f>IF(OR(S1075=#REF!,S1075=#REF!,S1075=#REF!,S1075=#REF!,S1075=#REF!,S1075=#REF!,S1075=#REF!,S1075=#REF!),12,IF(OR(S1075=#REF!,S1075=#REF!,S1075=#REF!,S1075=#REF!,S1075=#REF!,S1075=#REF!,S1075=#REF!),3,IF(S1075=#REF!,1,IF(S1075=#REF!,18,IF(OR(S1075=#REF!,S1075=#REF!,S1075=#REF!,S1075=#REF!,S1075=#REF!),14,"Invalid proposed procurement method")))))</f>
        <v>#REF!</v>
      </c>
      <c r="M1075" s="193" t="str">
        <f>IFERROR(EDATE($N1075,-3),"Invalid procurement method or date entered")</f>
        <v>Invalid procurement method or date entered</v>
      </c>
      <c r="N1075" s="193" t="str">
        <f>IFERROR(EDATE(O1075,-L1075),"Invalid procurement method or date entered")</f>
        <v>Invalid procurement method or date entered</v>
      </c>
      <c r="O1075" s="193">
        <v>44327</v>
      </c>
      <c r="P1075" s="5">
        <v>24</v>
      </c>
      <c r="Q1075" s="7" t="s">
        <v>366</v>
      </c>
      <c r="R1075" s="788">
        <v>40000</v>
      </c>
      <c r="S1075" s="5" t="s">
        <v>217</v>
      </c>
      <c r="T1075" s="5" t="s">
        <v>54</v>
      </c>
      <c r="U1075" s="12" t="s">
        <v>37</v>
      </c>
      <c r="V1075" s="12"/>
      <c r="W1075" s="5" t="s">
        <v>286</v>
      </c>
      <c r="X1075" s="74" t="s">
        <v>1053</v>
      </c>
      <c r="Y1075" s="74" t="s">
        <v>457</v>
      </c>
      <c r="Z1075" s="74" t="s">
        <v>40</v>
      </c>
      <c r="AA1075" s="74" t="s">
        <v>41</v>
      </c>
      <c r="AB1075" s="316" t="s">
        <v>1269</v>
      </c>
      <c r="AC1075" s="95" t="s">
        <v>1246</v>
      </c>
      <c r="AD1075" s="74" t="s">
        <v>85</v>
      </c>
      <c r="AE1075" s="306">
        <v>20000</v>
      </c>
    </row>
    <row r="1076" spans="1:31" ht="15.6">
      <c r="A1076" s="1061">
        <v>44974</v>
      </c>
      <c r="B1076" s="1066" t="s">
        <v>210</v>
      </c>
      <c r="C1076" s="1072" t="s">
        <v>4021</v>
      </c>
      <c r="D1076" s="1072" t="s">
        <v>2856</v>
      </c>
      <c r="E1076" s="1066" t="s">
        <v>210</v>
      </c>
      <c r="F1076" s="1066" t="s">
        <v>190</v>
      </c>
      <c r="G1076" s="1066" t="s">
        <v>190</v>
      </c>
      <c r="H1076" s="1066" t="s">
        <v>190</v>
      </c>
      <c r="I1076" s="1066" t="s">
        <v>190</v>
      </c>
      <c r="J1076" s="1095" t="s">
        <v>4022</v>
      </c>
      <c r="K1076" s="1072" t="s">
        <v>4023</v>
      </c>
      <c r="L1076" s="1066" t="s">
        <v>190</v>
      </c>
      <c r="M1076" s="1066" t="s">
        <v>190</v>
      </c>
      <c r="N1076" s="1066" t="s">
        <v>190</v>
      </c>
      <c r="O1076" s="1142">
        <v>44333</v>
      </c>
      <c r="P1076" s="1150">
        <v>44582</v>
      </c>
      <c r="Q1076" s="1072" t="s">
        <v>4024</v>
      </c>
      <c r="R1076" s="1176">
        <v>835715</v>
      </c>
      <c r="S1076" s="1072" t="s">
        <v>4025</v>
      </c>
      <c r="T1076" s="1066" t="s">
        <v>190</v>
      </c>
      <c r="U1076" s="1066" t="s">
        <v>190</v>
      </c>
      <c r="V1076" s="1066"/>
      <c r="W1076" s="1072" t="s">
        <v>4026</v>
      </c>
      <c r="X1076" s="1116" t="s">
        <v>1346</v>
      </c>
      <c r="Y1076" s="1116" t="s">
        <v>1266</v>
      </c>
      <c r="Z1076" s="1068" t="s">
        <v>190</v>
      </c>
      <c r="AA1076" s="1068" t="s">
        <v>190</v>
      </c>
      <c r="AB1076" s="1068" t="s">
        <v>190</v>
      </c>
      <c r="AC1076" s="694" t="s">
        <v>4027</v>
      </c>
      <c r="AD1076" s="1068" t="s">
        <v>190</v>
      </c>
      <c r="AE1076" s="1193">
        <v>835715</v>
      </c>
    </row>
    <row r="1077" spans="1:31" ht="15.6">
      <c r="A1077" s="1061">
        <v>44974</v>
      </c>
      <c r="B1077" s="1066" t="s">
        <v>210</v>
      </c>
      <c r="C1077" s="1072" t="s">
        <v>4028</v>
      </c>
      <c r="D1077" s="1072" t="s">
        <v>209</v>
      </c>
      <c r="E1077" s="1066" t="s">
        <v>210</v>
      </c>
      <c r="F1077" s="1066" t="s">
        <v>190</v>
      </c>
      <c r="G1077" s="1066" t="s">
        <v>190</v>
      </c>
      <c r="H1077" s="1066" t="s">
        <v>190</v>
      </c>
      <c r="I1077" s="1066" t="s">
        <v>190</v>
      </c>
      <c r="J1077" s="1095" t="s">
        <v>4029</v>
      </c>
      <c r="K1077" s="1072" t="s">
        <v>4030</v>
      </c>
      <c r="L1077" s="1066" t="s">
        <v>190</v>
      </c>
      <c r="M1077" s="1068" t="s">
        <v>190</v>
      </c>
      <c r="N1077" s="1068" t="s">
        <v>190</v>
      </c>
      <c r="O1077" s="1150">
        <v>44334</v>
      </c>
      <c r="P1077" s="1142">
        <v>44394</v>
      </c>
      <c r="Q1077" s="1072" t="s">
        <v>100</v>
      </c>
      <c r="R1077" s="1176">
        <v>133995</v>
      </c>
      <c r="S1077" s="1072" t="s">
        <v>158</v>
      </c>
      <c r="T1077" s="1066" t="s">
        <v>190</v>
      </c>
      <c r="U1077" s="1066" t="s">
        <v>190</v>
      </c>
      <c r="V1077" s="1066"/>
      <c r="W1077" s="1072" t="s">
        <v>293</v>
      </c>
      <c r="X1077" s="1116" t="s">
        <v>1346</v>
      </c>
      <c r="Y1077" s="1116" t="s">
        <v>1266</v>
      </c>
      <c r="Z1077" s="1068" t="s">
        <v>190</v>
      </c>
      <c r="AA1077" s="1068" t="s">
        <v>190</v>
      </c>
      <c r="AB1077" s="1068" t="s">
        <v>190</v>
      </c>
      <c r="AC1077" s="694" t="s">
        <v>4031</v>
      </c>
      <c r="AD1077" s="1068" t="s">
        <v>190</v>
      </c>
      <c r="AE1077" s="1193">
        <v>133995</v>
      </c>
    </row>
    <row r="1078" spans="1:31" ht="15.6">
      <c r="A1078" s="1061">
        <v>44974</v>
      </c>
      <c r="B1078" s="1066" t="s">
        <v>210</v>
      </c>
      <c r="C1078" s="1072" t="s">
        <v>1351</v>
      </c>
      <c r="D1078" s="1072" t="s">
        <v>1034</v>
      </c>
      <c r="E1078" s="1066" t="s">
        <v>210</v>
      </c>
      <c r="F1078" s="1066" t="s">
        <v>190</v>
      </c>
      <c r="G1078" s="1066" t="s">
        <v>190</v>
      </c>
      <c r="H1078" s="1066" t="s">
        <v>190</v>
      </c>
      <c r="I1078" s="1066" t="s">
        <v>190</v>
      </c>
      <c r="J1078" s="1095" t="s">
        <v>1352</v>
      </c>
      <c r="K1078" s="1072" t="s">
        <v>1353</v>
      </c>
      <c r="L1078" s="1066" t="s">
        <v>190</v>
      </c>
      <c r="M1078" s="1066" t="s">
        <v>190</v>
      </c>
      <c r="N1078" s="1066" t="s">
        <v>190</v>
      </c>
      <c r="O1078" s="1142">
        <v>44336</v>
      </c>
      <c r="P1078" s="1142">
        <v>44700</v>
      </c>
      <c r="Q1078" s="1072" t="s">
        <v>4032</v>
      </c>
      <c r="R1078" s="1176">
        <v>40360</v>
      </c>
      <c r="S1078" s="1072" t="s">
        <v>158</v>
      </c>
      <c r="T1078" s="1066" t="s">
        <v>190</v>
      </c>
      <c r="U1078" s="1066" t="s">
        <v>190</v>
      </c>
      <c r="V1078" s="1066"/>
      <c r="W1078" s="1072" t="s">
        <v>1342</v>
      </c>
      <c r="X1078" s="1116" t="s">
        <v>1346</v>
      </c>
      <c r="Y1078" s="1116" t="s">
        <v>1266</v>
      </c>
      <c r="Z1078" s="1068" t="s">
        <v>190</v>
      </c>
      <c r="AA1078" s="1068" t="s">
        <v>190</v>
      </c>
      <c r="AB1078" s="1068" t="s">
        <v>190</v>
      </c>
      <c r="AC1078" s="694" t="s">
        <v>4033</v>
      </c>
      <c r="AD1078" s="1068" t="s">
        <v>190</v>
      </c>
      <c r="AE1078" s="1193">
        <v>40360</v>
      </c>
    </row>
    <row r="1079" spans="1:31" ht="72">
      <c r="A1079" s="889"/>
      <c r="B1079" s="114"/>
      <c r="C1079" s="4" t="s">
        <v>4034</v>
      </c>
      <c r="D1079" s="9" t="s">
        <v>29</v>
      </c>
      <c r="E1079" s="9"/>
      <c r="F1079" s="9"/>
      <c r="G1079" s="9"/>
      <c r="H1079" s="5" t="s">
        <v>81</v>
      </c>
      <c r="I1079" s="5" t="s">
        <v>64</v>
      </c>
      <c r="J1079" s="16" t="s">
        <v>805</v>
      </c>
      <c r="K1079" s="8"/>
      <c r="L1079" s="5" t="e">
        <f>IF(OR(S1079=#REF!,S1079=#REF!,S1079=#REF!,S1079=#REF!,S1079=#REF!,S1079=#REF!,S1079=#REF!,S1079=#REF!),12,IF(OR(S1079=#REF!,S1079=#REF!,S1079=#REF!,S1079=#REF!,S1079=#REF!,S1079=#REF!,S1079=#REF!),3,IF(S1079=#REF!,1,IF(S1079=#REF!,18,IF(OR(S1079=#REF!,S1079=#REF!,S1079=#REF!,S1079=#REF!,S1079=#REF!),14,"Invalid proposed procurement method")))))</f>
        <v>#REF!</v>
      </c>
      <c r="M1079" s="193" t="str">
        <f>IFERROR(EDATE($N1079,-3),"Invalid procurement method or date entered")</f>
        <v>Invalid procurement method or date entered</v>
      </c>
      <c r="N1079" s="193" t="str">
        <f>IFERROR(EDATE(O1079,-L1079),"Invalid procurement method or date entered")</f>
        <v>Invalid procurement method or date entered</v>
      </c>
      <c r="O1079" s="193">
        <v>44337</v>
      </c>
      <c r="P1079" s="5">
        <v>120</v>
      </c>
      <c r="Q1079" s="5" t="s">
        <v>4035</v>
      </c>
      <c r="R1079" s="18">
        <v>6140000</v>
      </c>
      <c r="S1079" s="5" t="s">
        <v>66</v>
      </c>
      <c r="T1079" s="49" t="s">
        <v>41</v>
      </c>
      <c r="U1079" s="45" t="s">
        <v>35</v>
      </c>
      <c r="V1079" s="45"/>
      <c r="W1079" s="5" t="s">
        <v>4036</v>
      </c>
      <c r="X1079" s="74"/>
      <c r="Y1079" s="74" t="s">
        <v>59</v>
      </c>
      <c r="Z1079" s="74" t="s">
        <v>80</v>
      </c>
      <c r="AA1079" s="74" t="s">
        <v>41</v>
      </c>
      <c r="AB1079" s="316" t="s">
        <v>1269</v>
      </c>
      <c r="AC1079" s="95" t="s">
        <v>4037</v>
      </c>
      <c r="AD1079" s="70" t="s">
        <v>81</v>
      </c>
      <c r="AE1079" s="204">
        <v>614000</v>
      </c>
    </row>
    <row r="1080" spans="1:31" ht="72">
      <c r="A1080" s="889"/>
      <c r="B1080" s="4"/>
      <c r="C1080" s="4" t="s">
        <v>238</v>
      </c>
      <c r="D1080" s="9" t="s">
        <v>29</v>
      </c>
      <c r="E1080" s="9"/>
      <c r="F1080" s="9"/>
      <c r="G1080" s="9"/>
      <c r="H1080" s="5" t="s">
        <v>70</v>
      </c>
      <c r="I1080" s="5" t="s">
        <v>34</v>
      </c>
      <c r="J1080" s="16" t="s">
        <v>239</v>
      </c>
      <c r="K1080" s="8"/>
      <c r="L1080" s="5" t="e">
        <f>IF(OR(S1080=#REF!,S1080=#REF!,S1080=#REF!,S1080=#REF!,S1080=#REF!,S1080=#REF!,S1080=#REF!,S1080=#REF!),12,IF(OR(S1080=#REF!,S1080=#REF!,S1080=#REF!,S1080=#REF!,S1080=#REF!,S1080=#REF!,S1080=#REF!),3,IF(S1080=#REF!,1,IF(S1080=#REF!,18,IF(OR(S1080=#REF!,S1080=#REF!,S1080=#REF!,S1080=#REF!,S1080=#REF!),14,"Invalid proposed procurement method")))))</f>
        <v>#REF!</v>
      </c>
      <c r="M1080" s="193" t="str">
        <f>IFERROR(EDATE($N1080,-3),"Invalid procurement method or date entered")</f>
        <v>Invalid procurement method or date entered</v>
      </c>
      <c r="N1080" s="193" t="str">
        <f>IFERROR(EDATE(O1080,-L1080),"Invalid procurement method or date entered")</f>
        <v>Invalid procurement method or date entered</v>
      </c>
      <c r="O1080" s="193">
        <v>44340</v>
      </c>
      <c r="P1080" s="12">
        <v>48</v>
      </c>
      <c r="Q1080" s="12" t="s">
        <v>191</v>
      </c>
      <c r="R1080" s="88">
        <v>63312</v>
      </c>
      <c r="S1080" s="5" t="s">
        <v>109</v>
      </c>
      <c r="T1080" s="48" t="s">
        <v>36</v>
      </c>
      <c r="U1080" s="48" t="s">
        <v>37</v>
      </c>
      <c r="V1080" s="48"/>
      <c r="W1080" s="5" t="s">
        <v>1290</v>
      </c>
      <c r="X1080" s="74" t="s">
        <v>1091</v>
      </c>
      <c r="Y1080" s="74" t="s">
        <v>457</v>
      </c>
      <c r="Z1080" s="74" t="s">
        <v>80</v>
      </c>
      <c r="AA1080" s="74" t="s">
        <v>41</v>
      </c>
      <c r="AB1080" s="316" t="s">
        <v>1269</v>
      </c>
      <c r="AC1080" s="95" t="s">
        <v>4038</v>
      </c>
      <c r="AD1080" s="74" t="s">
        <v>242</v>
      </c>
      <c r="AE1080" s="1473">
        <v>15828</v>
      </c>
    </row>
    <row r="1081" spans="1:31" ht="39.6">
      <c r="A1081" s="852"/>
      <c r="B1081" s="520" t="s">
        <v>48</v>
      </c>
      <c r="C1081" s="465" t="s">
        <v>2321</v>
      </c>
      <c r="D1081" s="466" t="s">
        <v>82</v>
      </c>
      <c r="E1081" s="466"/>
      <c r="F1081" s="466"/>
      <c r="G1081" s="466"/>
      <c r="H1081" s="466" t="s">
        <v>49</v>
      </c>
      <c r="I1081" s="474" t="s">
        <v>34</v>
      </c>
      <c r="J1081" s="1024" t="s">
        <v>2322</v>
      </c>
      <c r="K1081" s="467"/>
      <c r="L1081" s="466">
        <v>12</v>
      </c>
      <c r="M1081" s="469">
        <f>IF(O1081="tbc","",(IFERROR(EDATE($N1081,-3),"Invalid procurement method or date entered")))</f>
        <v>43885</v>
      </c>
      <c r="N1081" s="469">
        <f>IF(O1081="tbc","",(IFERROR(EDATE(O1081,-L1081),"Invalid procurement method or date entered")))</f>
        <v>43975</v>
      </c>
      <c r="O1081" s="470">
        <v>44340</v>
      </c>
      <c r="P1081" s="471">
        <v>13</v>
      </c>
      <c r="Q1081" s="471">
        <v>13</v>
      </c>
      <c r="R1081" s="483">
        <v>5517000</v>
      </c>
      <c r="S1081" s="470" t="s">
        <v>98</v>
      </c>
      <c r="T1081" s="470" t="s">
        <v>144</v>
      </c>
      <c r="U1081" s="470" t="s">
        <v>125</v>
      </c>
      <c r="V1081" s="470"/>
      <c r="W1081" s="513" t="s">
        <v>1304</v>
      </c>
    </row>
    <row r="1082" spans="1:31" ht="15.6">
      <c r="A1082" s="1061">
        <v>44974</v>
      </c>
      <c r="B1082" s="1066" t="s">
        <v>210</v>
      </c>
      <c r="C1082" s="1072" t="s">
        <v>4039</v>
      </c>
      <c r="D1082" s="1072" t="s">
        <v>209</v>
      </c>
      <c r="E1082" s="1066" t="s">
        <v>210</v>
      </c>
      <c r="F1082" s="1066" t="s">
        <v>190</v>
      </c>
      <c r="G1082" s="1066" t="s">
        <v>190</v>
      </c>
      <c r="H1082" s="1066" t="s">
        <v>190</v>
      </c>
      <c r="I1082" s="1066" t="s">
        <v>190</v>
      </c>
      <c r="J1082" s="1095" t="s">
        <v>4040</v>
      </c>
      <c r="K1082" s="1072" t="s">
        <v>4041</v>
      </c>
      <c r="L1082" s="1066" t="s">
        <v>190</v>
      </c>
      <c r="M1082" s="1066" t="s">
        <v>190</v>
      </c>
      <c r="N1082" s="1066" t="s">
        <v>190</v>
      </c>
      <c r="O1082" s="1142">
        <v>44340</v>
      </c>
      <c r="P1082" s="1142">
        <v>44500</v>
      </c>
      <c r="Q1082" s="1072" t="s">
        <v>100</v>
      </c>
      <c r="R1082" s="1176">
        <v>1274810</v>
      </c>
      <c r="S1082" s="1072" t="s">
        <v>158</v>
      </c>
      <c r="T1082" s="1066" t="s">
        <v>190</v>
      </c>
      <c r="U1082" s="1066" t="s">
        <v>190</v>
      </c>
      <c r="V1082" s="1066"/>
      <c r="W1082" s="1072" t="s">
        <v>293</v>
      </c>
      <c r="X1082" s="1116" t="s">
        <v>1346</v>
      </c>
      <c r="Y1082" s="1116" t="s">
        <v>1266</v>
      </c>
      <c r="Z1082" s="1068" t="s">
        <v>190</v>
      </c>
      <c r="AA1082" s="1068" t="s">
        <v>190</v>
      </c>
      <c r="AB1082" s="1068" t="s">
        <v>190</v>
      </c>
      <c r="AC1082" s="694" t="s">
        <v>4042</v>
      </c>
      <c r="AD1082" s="1068" t="s">
        <v>190</v>
      </c>
      <c r="AE1082" s="1193">
        <v>1274810</v>
      </c>
    </row>
    <row r="1083" spans="1:31" ht="15.6">
      <c r="A1083" s="1061">
        <v>44974</v>
      </c>
      <c r="B1083" s="1066" t="s">
        <v>210</v>
      </c>
      <c r="C1083" s="1072" t="s">
        <v>4043</v>
      </c>
      <c r="D1083" s="1072" t="s">
        <v>1073</v>
      </c>
      <c r="E1083" s="1066" t="s">
        <v>210</v>
      </c>
      <c r="F1083" s="1066" t="s">
        <v>190</v>
      </c>
      <c r="G1083" s="1066" t="s">
        <v>190</v>
      </c>
      <c r="H1083" s="1066" t="s">
        <v>190</v>
      </c>
      <c r="I1083" s="1066" t="s">
        <v>190</v>
      </c>
      <c r="J1083" s="1095" t="s">
        <v>4044</v>
      </c>
      <c r="K1083" s="1072" t="s">
        <v>1161</v>
      </c>
      <c r="L1083" s="1066" t="s">
        <v>190</v>
      </c>
      <c r="M1083" s="1066" t="s">
        <v>190</v>
      </c>
      <c r="N1083" s="1066" t="s">
        <v>190</v>
      </c>
      <c r="O1083" s="1142">
        <v>44341</v>
      </c>
      <c r="P1083" s="1142">
        <v>45070</v>
      </c>
      <c r="Q1083" s="1072" t="s">
        <v>100</v>
      </c>
      <c r="R1083" s="1176">
        <v>34000</v>
      </c>
      <c r="S1083" s="1072" t="s">
        <v>4045</v>
      </c>
      <c r="T1083" s="1066" t="s">
        <v>190</v>
      </c>
      <c r="U1083" s="1066" t="s">
        <v>190</v>
      </c>
      <c r="V1083" s="1066"/>
      <c r="W1083" s="1072" t="s">
        <v>1074</v>
      </c>
      <c r="X1083" s="1116" t="s">
        <v>1346</v>
      </c>
      <c r="Y1083" s="1116" t="s">
        <v>1266</v>
      </c>
      <c r="Z1083" s="1068" t="s">
        <v>190</v>
      </c>
      <c r="AA1083" s="1068" t="s">
        <v>190</v>
      </c>
      <c r="AB1083" s="1068" t="s">
        <v>190</v>
      </c>
      <c r="AC1083" s="694" t="s">
        <v>4046</v>
      </c>
      <c r="AD1083" s="1068" t="s">
        <v>190</v>
      </c>
      <c r="AE1083" s="1193">
        <v>34000</v>
      </c>
    </row>
    <row r="1084" spans="1:31" ht="15.6">
      <c r="A1084" s="1061">
        <v>44974</v>
      </c>
      <c r="B1084" s="1066" t="s">
        <v>210</v>
      </c>
      <c r="C1084" s="1072" t="s">
        <v>4047</v>
      </c>
      <c r="D1084" s="1072" t="s">
        <v>1034</v>
      </c>
      <c r="E1084" s="1066" t="s">
        <v>210</v>
      </c>
      <c r="F1084" s="1066" t="s">
        <v>190</v>
      </c>
      <c r="G1084" s="1066" t="s">
        <v>190</v>
      </c>
      <c r="H1084" s="1066" t="s">
        <v>190</v>
      </c>
      <c r="I1084" s="1066" t="s">
        <v>190</v>
      </c>
      <c r="J1084" s="1095" t="s">
        <v>4048</v>
      </c>
      <c r="K1084" s="1072" t="s">
        <v>1068</v>
      </c>
      <c r="L1084" s="1066" t="s">
        <v>190</v>
      </c>
      <c r="M1084" s="1066" t="s">
        <v>190</v>
      </c>
      <c r="N1084" s="1066" t="s">
        <v>190</v>
      </c>
      <c r="O1084" s="1142">
        <v>44344</v>
      </c>
      <c r="P1084" s="1142">
        <v>44527</v>
      </c>
      <c r="Q1084" s="1072" t="s">
        <v>4049</v>
      </c>
      <c r="R1084" s="1176">
        <v>55000</v>
      </c>
      <c r="S1084" s="1072" t="s">
        <v>2878</v>
      </c>
      <c r="T1084" s="1066" t="s">
        <v>190</v>
      </c>
      <c r="U1084" s="1066" t="s">
        <v>190</v>
      </c>
      <c r="V1084" s="1066"/>
      <c r="W1084" s="1072" t="s">
        <v>1342</v>
      </c>
      <c r="X1084" s="1116" t="s">
        <v>1346</v>
      </c>
      <c r="Y1084" s="1116" t="s">
        <v>1266</v>
      </c>
      <c r="Z1084" s="1068" t="s">
        <v>190</v>
      </c>
      <c r="AA1084" s="1068" t="s">
        <v>190</v>
      </c>
      <c r="AB1084" s="1068" t="s">
        <v>190</v>
      </c>
      <c r="AC1084" s="694" t="s">
        <v>4050</v>
      </c>
      <c r="AD1084" s="1068" t="s">
        <v>190</v>
      </c>
      <c r="AE1084" s="1193">
        <v>55000</v>
      </c>
    </row>
    <row r="1085" spans="1:31" ht="72">
      <c r="A1085" s="889"/>
      <c r="B1085" s="1351"/>
      <c r="C1085" s="4" t="s">
        <v>664</v>
      </c>
      <c r="D1085" s="5" t="s">
        <v>29</v>
      </c>
      <c r="E1085" s="5"/>
      <c r="F1085" s="5"/>
      <c r="G1085" s="5"/>
      <c r="H1085" s="5" t="s">
        <v>260</v>
      </c>
      <c r="I1085" s="5" t="s">
        <v>34</v>
      </c>
      <c r="J1085" s="16" t="s">
        <v>665</v>
      </c>
      <c r="K1085" s="16"/>
      <c r="L1085" s="5" t="e">
        <f>IF(OR(S1085=#REF!,S1085=#REF!,S1085=#REF!,S1085=#REF!,S1085=#REF!,S1085=#REF!,S1085=#REF!,S1085=#REF!),12,IF(OR(S1085=#REF!,S1085=#REF!,S1085=#REF!,S1085=#REF!,S1085=#REF!,S1085=#REF!,S1085=#REF!),3,IF(S1085=#REF!,1,IF(S1085=#REF!,18,IF(OR(S1085=#REF!,S1085=#REF!,S1085=#REF!,S1085=#REF!,S1085=#REF!),14,"Invalid proposed procurement method")))))</f>
        <v>#REF!</v>
      </c>
      <c r="M1085" s="193" t="str">
        <f>IFERROR(EDATE($N1085,-3),"Invalid procurement method or date entered")</f>
        <v>Invalid procurement method or date entered</v>
      </c>
      <c r="N1085" s="193" t="str">
        <f>IFERROR(EDATE(O1085,-L1085),"Invalid procurement method or date entered")</f>
        <v>Invalid procurement method or date entered</v>
      </c>
      <c r="O1085" s="14">
        <v>44347</v>
      </c>
      <c r="P1085" s="12">
        <v>34</v>
      </c>
      <c r="Q1085" s="5" t="s">
        <v>4051</v>
      </c>
      <c r="R1085" s="18">
        <v>1000000</v>
      </c>
      <c r="S1085" s="5" t="s">
        <v>109</v>
      </c>
      <c r="T1085" s="50" t="s">
        <v>41</v>
      </c>
      <c r="U1085" s="50">
        <v>44327</v>
      </c>
      <c r="V1085" s="50"/>
      <c r="W1085" s="5" t="s">
        <v>343</v>
      </c>
      <c r="X1085" s="74" t="s">
        <v>1053</v>
      </c>
      <c r="Y1085" s="74" t="s">
        <v>457</v>
      </c>
      <c r="Z1085" s="74" t="s">
        <v>40</v>
      </c>
      <c r="AA1085" s="74" t="s">
        <v>41</v>
      </c>
      <c r="AB1085" s="316" t="s">
        <v>1253</v>
      </c>
      <c r="AC1085" s="95" t="s">
        <v>1246</v>
      </c>
      <c r="AD1085" s="70" t="s">
        <v>63</v>
      </c>
      <c r="AE1085" s="204">
        <v>350000</v>
      </c>
    </row>
    <row r="1086" spans="1:31" ht="66">
      <c r="A1086" s="852"/>
      <c r="B1086" s="520" t="s">
        <v>48</v>
      </c>
      <c r="C1086" s="465" t="s">
        <v>2276</v>
      </c>
      <c r="D1086" s="466" t="s">
        <v>82</v>
      </c>
      <c r="E1086" s="466"/>
      <c r="F1086" s="466"/>
      <c r="G1086" s="466"/>
      <c r="H1086" s="466" t="s">
        <v>49</v>
      </c>
      <c r="I1086" s="474" t="s">
        <v>34</v>
      </c>
      <c r="J1086" s="1024" t="s">
        <v>2277</v>
      </c>
      <c r="K1086" s="467"/>
      <c r="L1086" s="467"/>
      <c r="M1086" s="466">
        <v>12</v>
      </c>
      <c r="N1086" s="469" t="str">
        <f>IF(O1086="tbc","",(IFERROR(EDATE(#REF!,-3),"Invalid procurement method or date entered")))</f>
        <v>Invalid procurement method or date entered</v>
      </c>
      <c r="O1086" s="470">
        <v>44347</v>
      </c>
      <c r="P1086" s="471">
        <v>2</v>
      </c>
      <c r="Q1086" s="471">
        <v>2</v>
      </c>
      <c r="R1086" s="1194">
        <v>300000</v>
      </c>
      <c r="S1086" s="470" t="s">
        <v>173</v>
      </c>
      <c r="T1086" s="470" t="s">
        <v>36</v>
      </c>
      <c r="U1086" s="470" t="s">
        <v>125</v>
      </c>
      <c r="V1086" s="470"/>
      <c r="W1086" s="474" t="s">
        <v>2278</v>
      </c>
    </row>
    <row r="1087" spans="1:31" ht="39.6">
      <c r="A1087" s="852"/>
      <c r="B1087" s="520" t="s">
        <v>48</v>
      </c>
      <c r="C1087" s="580" t="s">
        <v>2323</v>
      </c>
      <c r="D1087" s="466" t="s">
        <v>29</v>
      </c>
      <c r="E1087" s="466"/>
      <c r="F1087" s="466"/>
      <c r="G1087" s="466"/>
      <c r="H1087" s="466" t="s">
        <v>49</v>
      </c>
      <c r="I1087" s="474" t="s">
        <v>34</v>
      </c>
      <c r="J1087" s="551" t="s">
        <v>2324</v>
      </c>
      <c r="K1087" s="580"/>
      <c r="L1087" s="580"/>
      <c r="M1087" s="580"/>
      <c r="N1087" s="580"/>
      <c r="O1087" s="582">
        <v>44347</v>
      </c>
      <c r="P1087" s="580">
        <v>4</v>
      </c>
      <c r="Q1087" s="580">
        <v>4</v>
      </c>
      <c r="R1087" s="1185">
        <v>950000</v>
      </c>
      <c r="S1087" s="580" t="s">
        <v>1163</v>
      </c>
      <c r="T1087" s="580" t="s">
        <v>465</v>
      </c>
      <c r="U1087" s="580" t="s">
        <v>43</v>
      </c>
      <c r="V1087" s="580"/>
      <c r="W1087" s="580"/>
    </row>
    <row r="1088" spans="1:31" ht="72">
      <c r="A1088" s="889"/>
      <c r="B1088" s="1351" t="s">
        <v>28</v>
      </c>
      <c r="C1088" s="4" t="s">
        <v>35</v>
      </c>
      <c r="D1088" s="9" t="s">
        <v>29</v>
      </c>
      <c r="E1088" s="9"/>
      <c r="F1088" s="9"/>
      <c r="G1088" s="9"/>
      <c r="H1088" s="5" t="s">
        <v>70</v>
      </c>
      <c r="I1088" s="5" t="s">
        <v>34</v>
      </c>
      <c r="J1088" s="16" t="s">
        <v>686</v>
      </c>
      <c r="K1088" s="8"/>
      <c r="L1088" s="5" t="e">
        <f>IF(OR(S1088=#REF!,S1088=#REF!,S1088=#REF!,S1088=#REF!,S1088=#REF!,S1088=#REF!,S1088=#REF!,S1088=#REF!),12,IF(OR(S1088=#REF!,S1088=#REF!,S1088=#REF!,S1088=#REF!,S1088=#REF!,S1088=#REF!,S1088=#REF!),3,IF(S1088=#REF!,1,IF(S1088=#REF!,18,IF(OR(S1088=#REF!,S1088=#REF!,S1088=#REF!,S1088=#REF!,S1088=#REF!),14,"Invalid proposed procurement method")))))</f>
        <v>#REF!</v>
      </c>
      <c r="M1088" s="193" t="str">
        <f>IFERROR(EDATE($N1088,-3),"Invalid procurement method or date entered")</f>
        <v>Invalid procurement method or date entered</v>
      </c>
      <c r="N1088" s="193" t="str">
        <f>IFERROR(EDATE(O1088,-L1088),"Invalid procurement method or date entered")</f>
        <v>Invalid procurement method or date entered</v>
      </c>
      <c r="O1088" s="193">
        <v>44348</v>
      </c>
      <c r="P1088" s="5">
        <v>84</v>
      </c>
      <c r="Q1088" s="7" t="s">
        <v>573</v>
      </c>
      <c r="R1088" s="788">
        <v>1463000</v>
      </c>
      <c r="S1088" s="193" t="s">
        <v>98</v>
      </c>
      <c r="T1088" s="11" t="s">
        <v>54</v>
      </c>
      <c r="U1088" s="12" t="s">
        <v>37</v>
      </c>
      <c r="V1088" s="12"/>
      <c r="W1088" s="5" t="s">
        <v>689</v>
      </c>
      <c r="X1088" s="74" t="s">
        <v>219</v>
      </c>
      <c r="Y1088" s="74" t="s">
        <v>59</v>
      </c>
      <c r="Z1088" s="74" t="s">
        <v>80</v>
      </c>
      <c r="AA1088" s="316" t="s">
        <v>1263</v>
      </c>
      <c r="AB1088" s="316" t="s">
        <v>1263</v>
      </c>
      <c r="AC1088" s="847" t="s">
        <v>4052</v>
      </c>
      <c r="AD1088" s="74" t="s">
        <v>688</v>
      </c>
      <c r="AE1088" s="863">
        <v>209000</v>
      </c>
    </row>
    <row r="1089" spans="1:31" ht="172.8">
      <c r="A1089" s="888"/>
      <c r="B1089" s="305"/>
      <c r="C1089" s="4" t="s">
        <v>735</v>
      </c>
      <c r="D1089" s="9" t="s">
        <v>29</v>
      </c>
      <c r="E1089" s="9"/>
      <c r="F1089" s="9"/>
      <c r="G1089" s="9"/>
      <c r="H1089" s="5" t="s">
        <v>311</v>
      </c>
      <c r="I1089" s="5" t="s">
        <v>64</v>
      </c>
      <c r="J1089" s="16" t="s">
        <v>736</v>
      </c>
      <c r="K1089" s="8"/>
      <c r="L1089" s="5" t="e">
        <f>IF(OR(S1089=#REF!,S1089=#REF!,S1089=#REF!,S1089=#REF!,S1089=#REF!,S1089=#REF!,S1089=#REF!,S1089=#REF!),12,IF(OR(S1089=#REF!,S1089=#REF!,S1089=#REF!,S1089=#REF!,S1089=#REF!,S1089=#REF!,S1089=#REF!),3,IF(S1089=#REF!,1,IF(S1089=#REF!,18,IF(OR(S1089=#REF!,S1089=#REF!,S1089=#REF!,S1089=#REF!,S1089=#REF!),14,"Invalid proposed procurement method")))))</f>
        <v>#REF!</v>
      </c>
      <c r="M1089" s="193" t="str">
        <f>IFERROR(EDATE($N1089,-3),"Invalid procurement method or date entered")</f>
        <v>Invalid procurement method or date entered</v>
      </c>
      <c r="N1089" s="193" t="str">
        <f>IFERROR(EDATE(O1089,-L1089),"Invalid procurement method or date entered")</f>
        <v>Invalid procurement method or date entered</v>
      </c>
      <c r="O1089" s="193">
        <v>44348</v>
      </c>
      <c r="P1089" s="5">
        <v>48</v>
      </c>
      <c r="Q1089" s="7" t="s">
        <v>4053</v>
      </c>
      <c r="R1089" s="18">
        <v>2649410</v>
      </c>
      <c r="S1089" s="5" t="s">
        <v>66</v>
      </c>
      <c r="T1089" s="9" t="s">
        <v>54</v>
      </c>
      <c r="U1089" s="15" t="s">
        <v>37</v>
      </c>
      <c r="V1089" s="15"/>
      <c r="W1089" s="5" t="s">
        <v>1291</v>
      </c>
      <c r="X1089" s="74" t="s">
        <v>1088</v>
      </c>
      <c r="Y1089" s="74" t="s">
        <v>457</v>
      </c>
      <c r="Z1089" s="74" t="s">
        <v>80</v>
      </c>
      <c r="AA1089" s="74" t="s">
        <v>41</v>
      </c>
      <c r="AB1089" s="316">
        <v>44355</v>
      </c>
      <c r="AC1089" s="95" t="s">
        <v>4054</v>
      </c>
      <c r="AD1089" s="70" t="s">
        <v>313</v>
      </c>
      <c r="AE1089" s="204">
        <v>529882</v>
      </c>
    </row>
    <row r="1090" spans="1:31" ht="72">
      <c r="A1090" s="888"/>
      <c r="B1090" s="1351"/>
      <c r="C1090" s="4" t="s">
        <v>4055</v>
      </c>
      <c r="D1090" s="9" t="s">
        <v>29</v>
      </c>
      <c r="E1090" s="9"/>
      <c r="F1090" s="9"/>
      <c r="G1090" s="9"/>
      <c r="H1090" s="5" t="s">
        <v>45</v>
      </c>
      <c r="I1090" s="261" t="s">
        <v>34</v>
      </c>
      <c r="J1090" s="16" t="s">
        <v>4056</v>
      </c>
      <c r="K1090" s="16"/>
      <c r="L1090" s="5" t="e">
        <f>IF(OR(S1090=#REF!,S1090=#REF!,S1090=#REF!,S1090=#REF!,S1090=#REF!,S1090=#REF!,S1090=#REF!,S1090=#REF!),12,IF(OR(S1090=#REF!,S1090=#REF!,S1090=#REF!,S1090=#REF!,S1090=#REF!,S1090=#REF!,S1090=#REF!),3,IF(S1090=#REF!,1,IF(S1090=#REF!,18,IF(OR(S1090=#REF!,S1090=#REF!,S1090=#REF!,S1090=#REF!,S1090=#REF!),14,"Invalid proposed procurement method")))))</f>
        <v>#REF!</v>
      </c>
      <c r="M1090" s="193" t="str">
        <f>IFERROR(EDATE($N1090,-3),"Invalid procurement method or date entered")</f>
        <v>Invalid procurement method or date entered</v>
      </c>
      <c r="N1090" s="193" t="str">
        <f>IFERROR(EDATE(O1090,-L1090),"Invalid procurement method or date entered")</f>
        <v>Invalid procurement method or date entered</v>
      </c>
      <c r="O1090" s="176">
        <v>44348</v>
      </c>
      <c r="P1090" s="12">
        <v>7</v>
      </c>
      <c r="Q1090" s="7" t="s">
        <v>4057</v>
      </c>
      <c r="R1090" s="18">
        <v>250000</v>
      </c>
      <c r="S1090" s="5" t="s">
        <v>109</v>
      </c>
      <c r="T1090" s="49" t="s">
        <v>36</v>
      </c>
      <c r="U1090" s="45" t="s">
        <v>35</v>
      </c>
      <c r="V1090" s="45"/>
      <c r="W1090" s="1335" t="s">
        <v>1108</v>
      </c>
      <c r="X1090" s="74" t="s">
        <v>1053</v>
      </c>
      <c r="Y1090" s="74" t="s">
        <v>457</v>
      </c>
      <c r="Z1090" s="74" t="s">
        <v>80</v>
      </c>
      <c r="AA1090" s="74" t="s">
        <v>54</v>
      </c>
      <c r="AB1090" s="316" t="s">
        <v>1253</v>
      </c>
      <c r="AC1090" s="95" t="s">
        <v>1246</v>
      </c>
      <c r="AD1090" s="70" t="s">
        <v>45</v>
      </c>
      <c r="AE1090" s="864">
        <v>250000</v>
      </c>
    </row>
    <row r="1091" spans="1:31" ht="43.2">
      <c r="A1091" s="888"/>
      <c r="B1091" s="114"/>
      <c r="C1091" s="4" t="s">
        <v>35</v>
      </c>
      <c r="D1091" s="9" t="s">
        <v>29</v>
      </c>
      <c r="E1091" s="9"/>
      <c r="F1091" s="9"/>
      <c r="G1091" s="9"/>
      <c r="H1091" s="5" t="s">
        <v>70</v>
      </c>
      <c r="I1091" s="5" t="s">
        <v>34</v>
      </c>
      <c r="J1091" s="1035" t="s">
        <v>1213</v>
      </c>
      <c r="K1091" s="61"/>
      <c r="L1091" s="5">
        <v>6</v>
      </c>
      <c r="M1091" s="193">
        <f>IFERROR(EDATE($N1091,-3),"Invalid procurement method or date entered")</f>
        <v>44075</v>
      </c>
      <c r="N1091" s="193">
        <f>IFERROR(EDATE(O1091,-L1091),"Invalid procurement method or date entered")</f>
        <v>44166</v>
      </c>
      <c r="O1091" s="176">
        <v>44348</v>
      </c>
      <c r="P1091" s="12">
        <v>12</v>
      </c>
      <c r="Q1091" s="12">
        <v>12</v>
      </c>
      <c r="R1091" s="18">
        <v>4493.78</v>
      </c>
      <c r="S1091" s="5" t="s">
        <v>909</v>
      </c>
      <c r="T1091" s="49" t="s">
        <v>54</v>
      </c>
      <c r="U1091" s="45" t="s">
        <v>37</v>
      </c>
      <c r="V1091" s="45"/>
      <c r="W1091" s="12" t="s">
        <v>301</v>
      </c>
      <c r="X1091" s="819" t="s">
        <v>73</v>
      </c>
      <c r="Y1091" s="74" t="s">
        <v>39</v>
      </c>
      <c r="Z1091" s="74" t="s">
        <v>95</v>
      </c>
      <c r="AA1091" s="74" t="s">
        <v>54</v>
      </c>
      <c r="AB1091" s="316" t="s">
        <v>1269</v>
      </c>
      <c r="AC1091" s="847"/>
      <c r="AD1091" s="74" t="s">
        <v>141</v>
      </c>
      <c r="AE1091" s="204">
        <v>4494</v>
      </c>
    </row>
    <row r="1092" spans="1:31" ht="15.6">
      <c r="A1092" s="1364"/>
      <c r="B1092" s="114"/>
      <c r="C1092" s="213" t="s">
        <v>4058</v>
      </c>
      <c r="D1092" s="1351" t="s">
        <v>29</v>
      </c>
      <c r="E1092" s="1351"/>
      <c r="F1092" s="1351"/>
      <c r="G1092" s="1351"/>
      <c r="H1092" s="1351" t="s">
        <v>4059</v>
      </c>
      <c r="I1092" s="1330" t="s">
        <v>50</v>
      </c>
      <c r="J1092" s="1351" t="s">
        <v>4060</v>
      </c>
      <c r="K1092" s="1351"/>
      <c r="L1092" s="1330">
        <v>6</v>
      </c>
      <c r="M1092" s="1329">
        <v>44166</v>
      </c>
      <c r="N1092" s="193" t="s">
        <v>3281</v>
      </c>
      <c r="O1092" s="1329">
        <v>44348</v>
      </c>
      <c r="P1092" s="1330">
        <v>36</v>
      </c>
      <c r="Q1092" s="1330" t="s">
        <v>3945</v>
      </c>
      <c r="R1092" s="1351"/>
      <c r="S1092" s="1351" t="s">
        <v>53</v>
      </c>
      <c r="T1092" s="1330" t="s">
        <v>54</v>
      </c>
      <c r="U1092" s="1330" t="s">
        <v>37</v>
      </c>
      <c r="V1092" s="1330"/>
      <c r="W1092" s="1330" t="s">
        <v>462</v>
      </c>
      <c r="X1092" s="1356" t="s">
        <v>1088</v>
      </c>
      <c r="Y1092" s="1356" t="s">
        <v>457</v>
      </c>
      <c r="Z1092" s="1356" t="s">
        <v>40</v>
      </c>
      <c r="AA1092" s="1356" t="s">
        <v>54</v>
      </c>
      <c r="AB1092" s="1369" t="s">
        <v>1253</v>
      </c>
      <c r="AC1092" s="1341" t="s">
        <v>4061</v>
      </c>
      <c r="AD1092" s="1356"/>
      <c r="AE1092" s="1474"/>
    </row>
    <row r="1093" spans="1:31" ht="72">
      <c r="A1093" s="1364"/>
      <c r="B1093" s="1351"/>
      <c r="C1093" s="4" t="s">
        <v>35</v>
      </c>
      <c r="D1093" s="9" t="s">
        <v>29</v>
      </c>
      <c r="E1093" s="9"/>
      <c r="F1093" s="9"/>
      <c r="G1093" s="9"/>
      <c r="H1093" s="5" t="s">
        <v>70</v>
      </c>
      <c r="I1093" s="5" t="s">
        <v>34</v>
      </c>
      <c r="J1093" s="1351" t="s">
        <v>1105</v>
      </c>
      <c r="K1093" s="1351"/>
      <c r="L1093" s="5" t="e">
        <f>IF(OR(S1093=#REF!,S1093=#REF!,S1093=#REF!,S1093=#REF!,S1093=#REF!,S1093=#REF!,S1093=#REF!,S1093=#REF!),12,IF(OR(S1093=#REF!,S1093=#REF!,S1093=#REF!,S1093=#REF!,S1093=#REF!,S1093=#REF!,S1093=#REF!),3,IF(S1093=#REF!,1,IF(S1093=#REF!,18,IF(OR(S1093=#REF!,S1093=#REF!,S1093=#REF!,S1093=#REF!,S1093=#REF!),14,"Invalid proposed procurement method")))))</f>
        <v>#REF!</v>
      </c>
      <c r="M1093" s="193" t="str">
        <f>IFERROR(EDATE($N1093,-3),"Invalid procurement method or date entered")</f>
        <v>Invalid procurement method or date entered</v>
      </c>
      <c r="N1093" s="193" t="str">
        <f>IFERROR(EDATE(O1093,-L1093),"Invalid procurement method or date entered")</f>
        <v>Invalid procurement method or date entered</v>
      </c>
      <c r="O1093" s="1329">
        <v>44348</v>
      </c>
      <c r="P1093" s="1330">
        <v>12</v>
      </c>
      <c r="Q1093" s="1330">
        <v>12</v>
      </c>
      <c r="R1093" s="1353">
        <v>3500</v>
      </c>
      <c r="S1093" s="1335" t="s">
        <v>909</v>
      </c>
      <c r="T1093" s="1330" t="s">
        <v>54</v>
      </c>
      <c r="U1093" s="1330" t="s">
        <v>37</v>
      </c>
      <c r="V1093" s="1330"/>
      <c r="W1093" s="5" t="s">
        <v>113</v>
      </c>
      <c r="X1093" s="1356" t="s">
        <v>73</v>
      </c>
      <c r="Y1093" s="1356" t="s">
        <v>59</v>
      </c>
      <c r="Z1093" s="74" t="s">
        <v>95</v>
      </c>
      <c r="AA1093" s="74" t="s">
        <v>54</v>
      </c>
      <c r="AB1093" s="316" t="s">
        <v>1269</v>
      </c>
      <c r="AC1093" s="1472" t="s">
        <v>3930</v>
      </c>
      <c r="AD1093" s="74" t="s">
        <v>114</v>
      </c>
      <c r="AE1093" s="191">
        <v>3500</v>
      </c>
    </row>
    <row r="1094" spans="1:31" ht="28.8">
      <c r="A1094" s="888"/>
      <c r="B1094" s="1351"/>
      <c r="C1094" s="194"/>
      <c r="D1094" s="9" t="s">
        <v>29</v>
      </c>
      <c r="E1094" s="9"/>
      <c r="F1094" s="9"/>
      <c r="G1094" s="9"/>
      <c r="H1094" s="5" t="s">
        <v>70</v>
      </c>
      <c r="I1094" s="12" t="s">
        <v>34</v>
      </c>
      <c r="J1094" s="16" t="s">
        <v>1138</v>
      </c>
      <c r="K1094" s="8"/>
      <c r="L1094" s="5">
        <v>1</v>
      </c>
      <c r="M1094" s="193">
        <f>IFERROR(EDATE($N1094,-3),"Invalid procurement method or date entered")</f>
        <v>44228</v>
      </c>
      <c r="N1094" s="193">
        <f>IFERROR(EDATE(O1094,-L1094),"Invalid procurement method or date entered")</f>
        <v>44317</v>
      </c>
      <c r="O1094" s="176">
        <v>44348</v>
      </c>
      <c r="P1094" s="12">
        <v>36</v>
      </c>
      <c r="Q1094" s="7" t="s">
        <v>318</v>
      </c>
      <c r="R1094" s="18">
        <v>130000</v>
      </c>
      <c r="S1094" s="5" t="s">
        <v>109</v>
      </c>
      <c r="T1094" s="5" t="s">
        <v>110</v>
      </c>
      <c r="U1094" s="12" t="s">
        <v>4062</v>
      </c>
      <c r="V1094" s="12"/>
      <c r="W1094" s="5" t="s">
        <v>1139</v>
      </c>
      <c r="X1094" s="74" t="s">
        <v>219</v>
      </c>
      <c r="Y1094" s="74" t="s">
        <v>39</v>
      </c>
      <c r="Z1094" s="74" t="s">
        <v>40</v>
      </c>
      <c r="AA1094" s="74" t="s">
        <v>54</v>
      </c>
      <c r="AB1094" s="316" t="s">
        <v>1253</v>
      </c>
      <c r="AC1094" s="95" t="s">
        <v>4063</v>
      </c>
      <c r="AD1094" s="70" t="s">
        <v>96</v>
      </c>
      <c r="AE1094" s="864">
        <v>130000</v>
      </c>
    </row>
    <row r="1095" spans="1:31" ht="43.2">
      <c r="A1095" s="1364"/>
      <c r="B1095" s="1351" t="s">
        <v>28</v>
      </c>
      <c r="C1095" s="194" t="s">
        <v>4064</v>
      </c>
      <c r="D1095" s="9" t="s">
        <v>60</v>
      </c>
      <c r="E1095" s="9"/>
      <c r="F1095" s="9"/>
      <c r="G1095" s="9"/>
      <c r="H1095" s="5" t="s">
        <v>364</v>
      </c>
      <c r="I1095" s="12" t="s">
        <v>34</v>
      </c>
      <c r="J1095" s="16" t="s">
        <v>4065</v>
      </c>
      <c r="K1095" s="8"/>
      <c r="L1095" s="5">
        <v>0.5</v>
      </c>
      <c r="M1095" s="193">
        <f>IFERROR(EDATE($N1095,-3),"Invalid procurement method or date entered")</f>
        <v>44256</v>
      </c>
      <c r="N1095" s="193">
        <f>IFERROR(EDATE(O1095,-L1095),"Invalid procurement method or date entered")</f>
        <v>44348</v>
      </c>
      <c r="O1095" s="176">
        <v>44348</v>
      </c>
      <c r="P1095" s="12">
        <v>10</v>
      </c>
      <c r="Q1095" s="7" t="s">
        <v>1362</v>
      </c>
      <c r="R1095" s="18">
        <v>70000</v>
      </c>
      <c r="S1095" s="193" t="s">
        <v>217</v>
      </c>
      <c r="T1095" s="5" t="s">
        <v>54</v>
      </c>
      <c r="U1095" s="12" t="s">
        <v>37</v>
      </c>
      <c r="V1095" s="12"/>
      <c r="W1095" s="5" t="s">
        <v>4066</v>
      </c>
      <c r="X1095" s="74" t="s">
        <v>219</v>
      </c>
      <c r="Y1095" s="74" t="s">
        <v>39</v>
      </c>
      <c r="Z1095" s="74"/>
      <c r="AA1095" s="316" t="s">
        <v>1253</v>
      </c>
      <c r="AB1095" s="316" t="s">
        <v>1263</v>
      </c>
      <c r="AC1095" s="95" t="s">
        <v>4067</v>
      </c>
      <c r="AD1095" s="70" t="s">
        <v>304</v>
      </c>
      <c r="AE1095" s="191">
        <v>70000</v>
      </c>
    </row>
    <row r="1096" spans="1:31" ht="158.4">
      <c r="A1096" s="1363"/>
      <c r="B1096" s="114"/>
      <c r="C1096" s="4" t="s">
        <v>35</v>
      </c>
      <c r="D1096" s="5" t="s">
        <v>29</v>
      </c>
      <c r="E1096" s="5"/>
      <c r="F1096" s="5"/>
      <c r="G1096" s="5"/>
      <c r="H1096" s="5" t="s">
        <v>70</v>
      </c>
      <c r="I1096" s="5" t="s">
        <v>50</v>
      </c>
      <c r="J1096" s="16" t="s">
        <v>4068</v>
      </c>
      <c r="K1096" s="8"/>
      <c r="L1096" s="5">
        <v>1</v>
      </c>
      <c r="M1096" s="193">
        <v>44264</v>
      </c>
      <c r="N1096" s="193">
        <f>IFERROR(EDATE(O1096,-L1096),"Invalid procurement method or date entered")</f>
        <v>44317</v>
      </c>
      <c r="O1096" s="193">
        <v>44348</v>
      </c>
      <c r="P1096" s="5" t="s">
        <v>35</v>
      </c>
      <c r="Q1096" s="5" t="s">
        <v>35</v>
      </c>
      <c r="R1096" s="39" t="s">
        <v>35</v>
      </c>
      <c r="S1096" s="5" t="s">
        <v>53</v>
      </c>
      <c r="T1096" s="5" t="s">
        <v>54</v>
      </c>
      <c r="U1096" s="5" t="s">
        <v>37</v>
      </c>
      <c r="V1096" s="5"/>
      <c r="W1096" s="5" t="s">
        <v>4069</v>
      </c>
      <c r="X1096" s="74" t="s">
        <v>1088</v>
      </c>
      <c r="Y1096" s="74" t="s">
        <v>457</v>
      </c>
      <c r="Z1096" s="74" t="s">
        <v>80</v>
      </c>
      <c r="AA1096" s="70" t="s">
        <v>54</v>
      </c>
      <c r="AB1096" s="316" t="s">
        <v>1269</v>
      </c>
      <c r="AC1096" s="851" t="s">
        <v>4070</v>
      </c>
      <c r="AD1096" s="74"/>
      <c r="AE1096" s="864">
        <v>6747.54</v>
      </c>
    </row>
    <row r="1097" spans="1:31" ht="72">
      <c r="A1097" s="888"/>
      <c r="B1097" s="114"/>
      <c r="C1097" s="4" t="s">
        <v>1270</v>
      </c>
      <c r="D1097" s="9" t="s">
        <v>29</v>
      </c>
      <c r="E1097" s="9"/>
      <c r="F1097" s="9"/>
      <c r="G1097" s="9"/>
      <c r="H1097" s="9" t="s">
        <v>171</v>
      </c>
      <c r="I1097" s="9" t="s">
        <v>34</v>
      </c>
      <c r="J1097" s="16" t="s">
        <v>4071</v>
      </c>
      <c r="K1097" s="8"/>
      <c r="L1097" s="5" t="e">
        <f>IF(OR(S1097=#REF!,S1097=#REF!,S1097=#REF!,S1097=#REF!,S1097=#REF!,S1097=#REF!,S1097=#REF!,S1097=#REF!),12,IF(OR(S1097=#REF!,S1097=#REF!,S1097=#REF!,S1097=#REF!,S1097=#REF!,S1097=#REF!,S1097=#REF!),3,IF(S1097=#REF!,1,IF(S1097=#REF!,18,IF(OR(S1097=#REF!,S1097=#REF!,S1097=#REF!,S1097=#REF!,S1097=#REF!),14,"Invalid proposed procurement method")))))</f>
        <v>#REF!</v>
      </c>
      <c r="M1097" s="193" t="str">
        <f>IFERROR(EDATE($N1097,-3),"Invalid procurement method or date entered")</f>
        <v>Invalid procurement method or date entered</v>
      </c>
      <c r="N1097" s="193" t="str">
        <f>IFERROR(EDATE(O1097,-L1097),"Invalid procurement method or date entered")</f>
        <v>Invalid procurement method or date entered</v>
      </c>
      <c r="O1097" s="177">
        <v>44348</v>
      </c>
      <c r="P1097" s="9">
        <v>18</v>
      </c>
      <c r="Q1097" s="258" t="s">
        <v>1127</v>
      </c>
      <c r="R1097" s="18">
        <v>15000</v>
      </c>
      <c r="S1097" s="5" t="s">
        <v>163</v>
      </c>
      <c r="T1097" s="5" t="s">
        <v>54</v>
      </c>
      <c r="U1097" s="14" t="s">
        <v>37</v>
      </c>
      <c r="V1097" s="14"/>
      <c r="W1097" s="9" t="s">
        <v>1128</v>
      </c>
      <c r="X1097" s="819" t="s">
        <v>90</v>
      </c>
      <c r="Y1097" s="74" t="s">
        <v>39</v>
      </c>
      <c r="Z1097" s="74" t="s">
        <v>95</v>
      </c>
      <c r="AA1097" s="74" t="s">
        <v>41</v>
      </c>
      <c r="AB1097" s="316" t="s">
        <v>1269</v>
      </c>
      <c r="AC1097" s="747" t="s">
        <v>4072</v>
      </c>
      <c r="AD1097" s="70" t="s">
        <v>171</v>
      </c>
      <c r="AE1097" s="306"/>
    </row>
    <row r="1098" spans="1:31" ht="66">
      <c r="A1098" s="852"/>
      <c r="B1098" s="520" t="s">
        <v>48</v>
      </c>
      <c r="C1098" s="553"/>
      <c r="D1098" s="466" t="s">
        <v>60</v>
      </c>
      <c r="E1098" s="466"/>
      <c r="F1098" s="466"/>
      <c r="G1098" s="466"/>
      <c r="H1098" s="466" t="s">
        <v>127</v>
      </c>
      <c r="I1098" s="465" t="s">
        <v>34</v>
      </c>
      <c r="J1098" s="1025" t="s">
        <v>2298</v>
      </c>
      <c r="K1098" s="488"/>
      <c r="L1098" s="466">
        <v>3</v>
      </c>
      <c r="M1098" s="469">
        <f t="shared" ref="M1098:M1106" si="13">IF(O1098="tbc","",(IFERROR(EDATE($N1098,-3),"Invalid procurement method or date entered")))</f>
        <v>44166</v>
      </c>
      <c r="N1098" s="469">
        <f t="shared" ref="N1098:N1106" si="14">IF(O1098="tbc","",(IFERROR(EDATE(O1098,-L1098),"Invalid procurement method or date entered")))</f>
        <v>44256</v>
      </c>
      <c r="O1098" s="489">
        <v>44348</v>
      </c>
      <c r="P1098" s="490" t="s">
        <v>125</v>
      </c>
      <c r="Q1098" s="490" t="s">
        <v>125</v>
      </c>
      <c r="R1098" s="483">
        <v>97668</v>
      </c>
      <c r="S1098" s="470" t="s">
        <v>129</v>
      </c>
      <c r="T1098" s="470" t="s">
        <v>36</v>
      </c>
      <c r="U1098" s="470" t="s">
        <v>125</v>
      </c>
      <c r="V1098" s="470"/>
      <c r="W1098" s="465" t="s">
        <v>2190</v>
      </c>
    </row>
    <row r="1099" spans="1:31" ht="66">
      <c r="A1099" s="852"/>
      <c r="B1099" s="520" t="s">
        <v>48</v>
      </c>
      <c r="C1099" s="465"/>
      <c r="D1099" s="466" t="s">
        <v>60</v>
      </c>
      <c r="E1099" s="466"/>
      <c r="F1099" s="466"/>
      <c r="G1099" s="466"/>
      <c r="H1099" s="466" t="s">
        <v>127</v>
      </c>
      <c r="I1099" s="465" t="s">
        <v>34</v>
      </c>
      <c r="J1099" s="1025" t="s">
        <v>2299</v>
      </c>
      <c r="K1099" s="488"/>
      <c r="L1099" s="466">
        <v>3</v>
      </c>
      <c r="M1099" s="469">
        <f t="shared" si="13"/>
        <v>44166</v>
      </c>
      <c r="N1099" s="469">
        <f t="shared" si="14"/>
        <v>44256</v>
      </c>
      <c r="O1099" s="489">
        <v>44348</v>
      </c>
      <c r="P1099" s="490">
        <v>2</v>
      </c>
      <c r="Q1099" s="490">
        <v>2</v>
      </c>
      <c r="R1099" s="483">
        <v>707995</v>
      </c>
      <c r="S1099" s="470" t="s">
        <v>129</v>
      </c>
      <c r="T1099" s="470" t="s">
        <v>144</v>
      </c>
      <c r="U1099" s="470" t="s">
        <v>125</v>
      </c>
      <c r="V1099" s="470"/>
      <c r="W1099" s="465" t="s">
        <v>2190</v>
      </c>
    </row>
    <row r="1100" spans="1:31" ht="66">
      <c r="A1100" s="852"/>
      <c r="B1100" s="520" t="s">
        <v>48</v>
      </c>
      <c r="C1100" s="465"/>
      <c r="D1100" s="466" t="s">
        <v>60</v>
      </c>
      <c r="E1100" s="466"/>
      <c r="F1100" s="466"/>
      <c r="G1100" s="466"/>
      <c r="H1100" s="466" t="s">
        <v>127</v>
      </c>
      <c r="I1100" s="465" t="s">
        <v>34</v>
      </c>
      <c r="J1100" s="1025" t="s">
        <v>2300</v>
      </c>
      <c r="K1100" s="488"/>
      <c r="L1100" s="466">
        <v>3</v>
      </c>
      <c r="M1100" s="469">
        <f t="shared" si="13"/>
        <v>44166</v>
      </c>
      <c r="N1100" s="469">
        <f t="shared" si="14"/>
        <v>44256</v>
      </c>
      <c r="O1100" s="489">
        <v>44348</v>
      </c>
      <c r="P1100" s="490">
        <v>7</v>
      </c>
      <c r="Q1100" s="490">
        <v>7</v>
      </c>
      <c r="R1100" s="483">
        <v>580599</v>
      </c>
      <c r="S1100" s="470" t="s">
        <v>129</v>
      </c>
      <c r="T1100" s="470" t="s">
        <v>144</v>
      </c>
      <c r="U1100" s="470" t="s">
        <v>125</v>
      </c>
      <c r="V1100" s="470"/>
      <c r="W1100" s="465" t="s">
        <v>2190</v>
      </c>
    </row>
    <row r="1101" spans="1:31" ht="52.8">
      <c r="A1101" s="852"/>
      <c r="B1101" s="520" t="s">
        <v>48</v>
      </c>
      <c r="C1101" s="465" t="s">
        <v>125</v>
      </c>
      <c r="D1101" s="466" t="s">
        <v>60</v>
      </c>
      <c r="E1101" s="466"/>
      <c r="F1101" s="466"/>
      <c r="G1101" s="466"/>
      <c r="H1101" s="466" t="s">
        <v>127</v>
      </c>
      <c r="I1101" s="474" t="s">
        <v>34</v>
      </c>
      <c r="J1101" s="549" t="s">
        <v>2338</v>
      </c>
      <c r="K1101" s="484"/>
      <c r="L1101" s="466">
        <v>-1</v>
      </c>
      <c r="M1101" s="469">
        <f t="shared" si="13"/>
        <v>44287</v>
      </c>
      <c r="N1101" s="469">
        <f t="shared" si="14"/>
        <v>44378</v>
      </c>
      <c r="O1101" s="469">
        <v>44348</v>
      </c>
      <c r="P1101" s="491" t="s">
        <v>125</v>
      </c>
      <c r="Q1101" s="491" t="s">
        <v>125</v>
      </c>
      <c r="R1101" s="493">
        <v>30000</v>
      </c>
      <c r="S1101" s="491" t="s">
        <v>163</v>
      </c>
      <c r="T1101" s="491" t="s">
        <v>465</v>
      </c>
      <c r="U1101" s="469">
        <v>43700</v>
      </c>
      <c r="V1101" s="469"/>
      <c r="W1101" s="513" t="s">
        <v>1304</v>
      </c>
    </row>
    <row r="1102" spans="1:31" ht="52.8">
      <c r="A1102" s="852"/>
      <c r="B1102" s="520" t="s">
        <v>48</v>
      </c>
      <c r="C1102" s="474" t="s">
        <v>125</v>
      </c>
      <c r="D1102" s="474" t="s">
        <v>82</v>
      </c>
      <c r="E1102" s="474"/>
      <c r="F1102" s="474"/>
      <c r="G1102" s="474"/>
      <c r="H1102" s="474" t="s">
        <v>49</v>
      </c>
      <c r="I1102" s="474" t="s">
        <v>34</v>
      </c>
      <c r="J1102" s="1024" t="s">
        <v>2343</v>
      </c>
      <c r="K1102" s="467"/>
      <c r="L1102" s="474">
        <v>1</v>
      </c>
      <c r="M1102" s="470">
        <f t="shared" si="13"/>
        <v>44228</v>
      </c>
      <c r="N1102" s="470">
        <f t="shared" si="14"/>
        <v>44317</v>
      </c>
      <c r="O1102" s="470">
        <v>44348</v>
      </c>
      <c r="P1102" s="471">
        <v>2</v>
      </c>
      <c r="Q1102" s="471">
        <v>2</v>
      </c>
      <c r="R1102" s="483">
        <v>110000</v>
      </c>
      <c r="S1102" s="470" t="s">
        <v>173</v>
      </c>
      <c r="T1102" s="470" t="s">
        <v>36</v>
      </c>
      <c r="U1102" s="474" t="s">
        <v>125</v>
      </c>
      <c r="V1102" s="474"/>
      <c r="W1102" s="475"/>
    </row>
    <row r="1103" spans="1:31" ht="39.6">
      <c r="A1103" s="852"/>
      <c r="B1103" s="520" t="s">
        <v>48</v>
      </c>
      <c r="C1103" s="465" t="s">
        <v>125</v>
      </c>
      <c r="D1103" s="466" t="s">
        <v>29</v>
      </c>
      <c r="E1103" s="466"/>
      <c r="F1103" s="466"/>
      <c r="G1103" s="466"/>
      <c r="H1103" s="466" t="s">
        <v>49</v>
      </c>
      <c r="I1103" s="474" t="s">
        <v>34</v>
      </c>
      <c r="J1103" s="1024" t="s">
        <v>2346</v>
      </c>
      <c r="K1103" s="467"/>
      <c r="L1103" s="466">
        <v>12</v>
      </c>
      <c r="M1103" s="469">
        <f t="shared" si="13"/>
        <v>43891</v>
      </c>
      <c r="N1103" s="469">
        <f t="shared" si="14"/>
        <v>43983</v>
      </c>
      <c r="O1103" s="470">
        <v>44348</v>
      </c>
      <c r="P1103" s="471">
        <v>48</v>
      </c>
      <c r="Q1103" s="471">
        <v>48</v>
      </c>
      <c r="R1103" s="483" t="s">
        <v>35</v>
      </c>
      <c r="S1103" s="470" t="s">
        <v>98</v>
      </c>
      <c r="T1103" s="470" t="s">
        <v>144</v>
      </c>
      <c r="U1103" s="470" t="s">
        <v>125</v>
      </c>
      <c r="V1103" s="470"/>
      <c r="W1103" s="466" t="s">
        <v>1304</v>
      </c>
    </row>
    <row r="1104" spans="1:31" ht="52.8">
      <c r="A1104" s="852"/>
      <c r="B1104" s="520" t="s">
        <v>48</v>
      </c>
      <c r="C1104" s="591" t="s">
        <v>2348</v>
      </c>
      <c r="D1104" s="580" t="s">
        <v>82</v>
      </c>
      <c r="E1104" s="580"/>
      <c r="F1104" s="580"/>
      <c r="G1104" s="580"/>
      <c r="H1104" s="580" t="s">
        <v>49</v>
      </c>
      <c r="I1104" s="581" t="s">
        <v>34</v>
      </c>
      <c r="J1104" s="1038" t="s">
        <v>2349</v>
      </c>
      <c r="K1104" s="592"/>
      <c r="L1104" s="466">
        <v>0</v>
      </c>
      <c r="M1104" s="582">
        <f t="shared" si="13"/>
        <v>44256</v>
      </c>
      <c r="N1104" s="582">
        <f t="shared" si="14"/>
        <v>44348</v>
      </c>
      <c r="O1104" s="571">
        <v>44348</v>
      </c>
      <c r="P1104" s="583">
        <v>2</v>
      </c>
      <c r="Q1104" s="583">
        <v>2</v>
      </c>
      <c r="R1104" s="584">
        <v>140000</v>
      </c>
      <c r="S1104" s="470" t="s">
        <v>173</v>
      </c>
      <c r="T1104" s="571" t="s">
        <v>36</v>
      </c>
      <c r="U1104" s="571" t="s">
        <v>125</v>
      </c>
      <c r="V1104" s="571"/>
      <c r="W1104" s="580" t="s">
        <v>1304</v>
      </c>
    </row>
    <row r="1105" spans="1:31" ht="66">
      <c r="A1105" s="852"/>
      <c r="B1105" s="520" t="s">
        <v>48</v>
      </c>
      <c r="C1105" s="465" t="s">
        <v>2444</v>
      </c>
      <c r="D1105" s="466" t="s">
        <v>60</v>
      </c>
      <c r="E1105" s="466"/>
      <c r="F1105" s="466"/>
      <c r="G1105" s="466"/>
      <c r="H1105" s="466" t="s">
        <v>127</v>
      </c>
      <c r="I1105" s="474" t="s">
        <v>34</v>
      </c>
      <c r="J1105" s="1024" t="s">
        <v>2445</v>
      </c>
      <c r="K1105" s="744"/>
      <c r="L1105" s="466">
        <v>3</v>
      </c>
      <c r="M1105" s="469">
        <f t="shared" si="13"/>
        <v>44166</v>
      </c>
      <c r="N1105" s="469">
        <f t="shared" si="14"/>
        <v>44256</v>
      </c>
      <c r="O1105" s="470">
        <v>44348</v>
      </c>
      <c r="P1105" s="471">
        <v>1</v>
      </c>
      <c r="Q1105" s="471">
        <v>1</v>
      </c>
      <c r="R1105" s="483">
        <v>90000</v>
      </c>
      <c r="S1105" s="470" t="s">
        <v>129</v>
      </c>
      <c r="T1105" s="470" t="s">
        <v>36</v>
      </c>
      <c r="U1105" s="465" t="s">
        <v>125</v>
      </c>
      <c r="V1105" s="465"/>
      <c r="W1105" s="466"/>
    </row>
    <row r="1106" spans="1:31" ht="66">
      <c r="A1106" s="852"/>
      <c r="B1106" s="520" t="s">
        <v>48</v>
      </c>
      <c r="C1106" s="465" t="s">
        <v>125</v>
      </c>
      <c r="D1106" s="466" t="s">
        <v>214</v>
      </c>
      <c r="E1106" s="466"/>
      <c r="F1106" s="466"/>
      <c r="G1106" s="466"/>
      <c r="H1106" s="466" t="s">
        <v>127</v>
      </c>
      <c r="I1106" s="465" t="s">
        <v>34</v>
      </c>
      <c r="J1106" s="1025" t="s">
        <v>2460</v>
      </c>
      <c r="K1106" s="744"/>
      <c r="L1106" s="466">
        <v>3</v>
      </c>
      <c r="M1106" s="469">
        <f t="shared" si="13"/>
        <v>44166</v>
      </c>
      <c r="N1106" s="469">
        <f t="shared" si="14"/>
        <v>44256</v>
      </c>
      <c r="O1106" s="489">
        <v>44348</v>
      </c>
      <c r="P1106" s="490">
        <v>2</v>
      </c>
      <c r="Q1106" s="490">
        <v>2</v>
      </c>
      <c r="R1106" s="483">
        <v>287816</v>
      </c>
      <c r="S1106" s="470" t="s">
        <v>129</v>
      </c>
      <c r="T1106" s="470" t="s">
        <v>144</v>
      </c>
      <c r="U1106" s="470" t="s">
        <v>125</v>
      </c>
      <c r="V1106" s="470"/>
      <c r="W1106" s="354" t="s">
        <v>41</v>
      </c>
    </row>
    <row r="1107" spans="1:31" ht="72">
      <c r="A1107" s="888"/>
      <c r="B1107" s="1351"/>
      <c r="C1107" s="4" t="s">
        <v>35</v>
      </c>
      <c r="D1107" s="5" t="s">
        <v>29</v>
      </c>
      <c r="E1107" s="5"/>
      <c r="F1107" s="5"/>
      <c r="G1107" s="5"/>
      <c r="H1107" s="5" t="s">
        <v>969</v>
      </c>
      <c r="I1107" s="5" t="s">
        <v>34</v>
      </c>
      <c r="J1107" s="16" t="s">
        <v>970</v>
      </c>
      <c r="K1107" s="8"/>
      <c r="L1107" s="5" t="e">
        <f>IF(OR(S1107=#REF!,S1107=#REF!,S1107=#REF!,S1107=#REF!,S1107=#REF!,S1107=#REF!,S1107=#REF!,S1107=#REF!),12,IF(OR(S1107=#REF!,S1107=#REF!,S1107=#REF!,S1107=#REF!,S1107=#REF!,S1107=#REF!,S1107=#REF!),3,IF(S1107=#REF!,1,IF(S1107=#REF!,18,IF(OR(S1107=#REF!,S1107=#REF!,S1107=#REF!,S1107=#REF!,S1107=#REF!),14,"Invalid proposed procurement method")))))</f>
        <v>#REF!</v>
      </c>
      <c r="M1107" s="193" t="str">
        <f>IFERROR(EDATE($N1107,-3),"Invalid procurement method or date entered")</f>
        <v>Invalid procurement method or date entered</v>
      </c>
      <c r="N1107" s="193" t="str">
        <f>IFERROR(EDATE(O1107,-L1107),"Invalid procurement method or date entered")</f>
        <v>Invalid procurement method or date entered</v>
      </c>
      <c r="O1107" s="193">
        <v>44358</v>
      </c>
      <c r="P1107" s="5">
        <v>12</v>
      </c>
      <c r="Q1107" s="7" t="s">
        <v>108</v>
      </c>
      <c r="R1107" s="18">
        <v>3000</v>
      </c>
      <c r="S1107" s="5" t="s">
        <v>109</v>
      </c>
      <c r="T1107" s="11" t="s">
        <v>54</v>
      </c>
      <c r="U1107" s="176" t="s">
        <v>37</v>
      </c>
      <c r="V1107" s="176"/>
      <c r="W1107" s="5" t="s">
        <v>971</v>
      </c>
      <c r="X1107" s="74" t="s">
        <v>1119</v>
      </c>
      <c r="Y1107" s="74" t="s">
        <v>39</v>
      </c>
      <c r="Z1107" s="74" t="s">
        <v>95</v>
      </c>
      <c r="AA1107" s="74" t="s">
        <v>41</v>
      </c>
      <c r="AB1107" s="316" t="s">
        <v>1253</v>
      </c>
      <c r="AC1107" s="95" t="s">
        <v>4073</v>
      </c>
      <c r="AD1107" s="70" t="s">
        <v>450</v>
      </c>
      <c r="AE1107" s="204">
        <v>3000</v>
      </c>
    </row>
    <row r="1108" spans="1:31" ht="72">
      <c r="A1108" s="852"/>
      <c r="B1108" s="114"/>
      <c r="C1108" s="4" t="s">
        <v>3348</v>
      </c>
      <c r="D1108" s="9" t="s">
        <v>29</v>
      </c>
      <c r="E1108" s="9"/>
      <c r="F1108" s="9"/>
      <c r="G1108" s="9"/>
      <c r="H1108" s="5" t="s">
        <v>119</v>
      </c>
      <c r="I1108" s="5" t="s">
        <v>64</v>
      </c>
      <c r="J1108" s="185" t="s">
        <v>229</v>
      </c>
      <c r="K1108" s="185"/>
      <c r="L1108" s="5" t="e">
        <f>IF(OR(S1108=#REF!,S1108=#REF!,S1108=#REF!,S1108=#REF!,S1108=#REF!,S1108=#REF!,S1108=#REF!,S1108=#REF!),12,IF(OR(S1108=#REF!,S1108=#REF!,S1108=#REF!,S1108=#REF!,S1108=#REF!,S1108=#REF!,S1108=#REF!),3,IF(S1108=#REF!,1,IF(S1108=#REF!,18,IF(OR(S1108=#REF!,S1108=#REF!,S1108=#REF!,S1108=#REF!,S1108=#REF!),14,"Invalid proposed procurement method")))))</f>
        <v>#REF!</v>
      </c>
      <c r="M1108" s="193" t="str">
        <f>IFERROR(EDATE($N1108,-3),"Invalid procurement method or date entered")</f>
        <v>Invalid procurement method or date entered</v>
      </c>
      <c r="N1108" s="193" t="str">
        <f>IFERROR(EDATE(O1108,-L1108),"Invalid procurement method or date entered")</f>
        <v>Invalid procurement method or date entered</v>
      </c>
      <c r="O1108" s="176">
        <v>44367</v>
      </c>
      <c r="P1108" s="12">
        <v>24</v>
      </c>
      <c r="Q1108" s="193" t="s">
        <v>1243</v>
      </c>
      <c r="R1108" s="18">
        <v>30000</v>
      </c>
      <c r="S1108" s="177" t="s">
        <v>66</v>
      </c>
      <c r="T1108" s="9" t="s">
        <v>54</v>
      </c>
      <c r="U1108" s="208" t="s">
        <v>37</v>
      </c>
      <c r="V1108" s="208"/>
      <c r="W1108" s="12" t="s">
        <v>89</v>
      </c>
      <c r="X1108" s="74" t="s">
        <v>68</v>
      </c>
      <c r="Y1108" s="74" t="s">
        <v>457</v>
      </c>
      <c r="Z1108" s="74"/>
      <c r="AA1108" s="74" t="s">
        <v>41</v>
      </c>
      <c r="AB1108" s="316" t="s">
        <v>1082</v>
      </c>
      <c r="AC1108" s="747" t="s">
        <v>4074</v>
      </c>
      <c r="AD1108" s="70" t="s">
        <v>42</v>
      </c>
      <c r="AE1108" s="306">
        <v>15000</v>
      </c>
    </row>
    <row r="1109" spans="1:31" ht="118.8">
      <c r="A1109" s="852"/>
      <c r="B1109" s="520" t="s">
        <v>48</v>
      </c>
      <c r="C1109" s="466" t="s">
        <v>125</v>
      </c>
      <c r="D1109" s="466" t="s">
        <v>60</v>
      </c>
      <c r="E1109" s="466"/>
      <c r="F1109" s="466"/>
      <c r="G1109" s="466"/>
      <c r="H1109" s="466" t="s">
        <v>127</v>
      </c>
      <c r="I1109" s="474" t="s">
        <v>34</v>
      </c>
      <c r="J1109" s="549" t="s">
        <v>2241</v>
      </c>
      <c r="K1109" s="484"/>
      <c r="L1109" s="484"/>
      <c r="M1109" s="466">
        <v>3</v>
      </c>
      <c r="N1109" s="469" t="str">
        <f>IF(O1109="tbc","",(IFERROR(EDATE(#REF!,-3),"Invalid procurement method or date entered")))</f>
        <v>Invalid procurement method or date entered</v>
      </c>
      <c r="O1109" s="469">
        <v>44368</v>
      </c>
      <c r="P1109" s="491" t="s">
        <v>125</v>
      </c>
      <c r="Q1109" s="491" t="s">
        <v>125</v>
      </c>
      <c r="R1109" s="493" t="s">
        <v>125</v>
      </c>
      <c r="S1109" s="470" t="s">
        <v>129</v>
      </c>
      <c r="T1109" s="470" t="s">
        <v>36</v>
      </c>
      <c r="U1109" s="466" t="s">
        <v>125</v>
      </c>
      <c r="V1109" s="466"/>
      <c r="W1109" s="486" t="s">
        <v>2162</v>
      </c>
    </row>
    <row r="1110" spans="1:31" ht="198">
      <c r="A1110" s="852"/>
      <c r="B1110" s="520" t="s">
        <v>48</v>
      </c>
      <c r="C1110" s="466" t="s">
        <v>125</v>
      </c>
      <c r="D1110" s="466" t="s">
        <v>60</v>
      </c>
      <c r="E1110" s="466"/>
      <c r="F1110" s="466"/>
      <c r="G1110" s="466"/>
      <c r="H1110" s="466" t="s">
        <v>127</v>
      </c>
      <c r="I1110" s="474" t="s">
        <v>34</v>
      </c>
      <c r="J1110" s="549" t="s">
        <v>2242</v>
      </c>
      <c r="K1110" s="484"/>
      <c r="L1110" s="484"/>
      <c r="M1110" s="466">
        <v>3</v>
      </c>
      <c r="N1110" s="469" t="str">
        <f>IF(O1110="tbc","",(IFERROR(EDATE(#REF!,-3),"Invalid procurement method or date entered")))</f>
        <v>Invalid procurement method or date entered</v>
      </c>
      <c r="O1110" s="469">
        <v>44368</v>
      </c>
      <c r="P1110" s="491" t="s">
        <v>125</v>
      </c>
      <c r="Q1110" s="491" t="s">
        <v>125</v>
      </c>
      <c r="R1110" s="493" t="s">
        <v>125</v>
      </c>
      <c r="S1110" s="470" t="s">
        <v>129</v>
      </c>
      <c r="T1110" s="470" t="s">
        <v>36</v>
      </c>
      <c r="U1110" s="466" t="s">
        <v>125</v>
      </c>
      <c r="V1110" s="466"/>
      <c r="W1110" s="486" t="s">
        <v>2162</v>
      </c>
    </row>
    <row r="1111" spans="1:31" ht="66">
      <c r="A1111" s="852"/>
      <c r="B1111" s="520" t="s">
        <v>48</v>
      </c>
      <c r="C1111" s="465" t="s">
        <v>125</v>
      </c>
      <c r="D1111" s="466" t="s">
        <v>29</v>
      </c>
      <c r="E1111" s="466"/>
      <c r="F1111" s="466"/>
      <c r="G1111" s="466"/>
      <c r="H1111" s="466" t="s">
        <v>49</v>
      </c>
      <c r="I1111" s="466" t="s">
        <v>34</v>
      </c>
      <c r="J1111" s="1025" t="s">
        <v>2291</v>
      </c>
      <c r="K1111" s="488"/>
      <c r="L1111" s="466">
        <v>3</v>
      </c>
      <c r="M1111" s="469">
        <f>IF(O1111="tbc","",(IFERROR(EDATE($N1111,-3),"Invalid procurement method or date entered")))</f>
        <v>44186</v>
      </c>
      <c r="N1111" s="469">
        <f>IF(O1111="tbc","",(IFERROR(EDATE(O1111,-L1111),"Invalid procurement method or date entered")))</f>
        <v>44276</v>
      </c>
      <c r="O1111" s="489">
        <v>44368</v>
      </c>
      <c r="P1111" s="491" t="s">
        <v>125</v>
      </c>
      <c r="Q1111" s="491" t="s">
        <v>125</v>
      </c>
      <c r="R1111" s="483">
        <v>480000</v>
      </c>
      <c r="S1111" s="470" t="s">
        <v>129</v>
      </c>
      <c r="T1111" s="470" t="s">
        <v>36</v>
      </c>
      <c r="U1111" s="470" t="s">
        <v>125</v>
      </c>
      <c r="V1111" s="470"/>
      <c r="W1111" s="466" t="s">
        <v>2190</v>
      </c>
    </row>
    <row r="1112" spans="1:31" ht="92.4">
      <c r="A1112" s="852"/>
      <c r="B1112" s="520" t="s">
        <v>48</v>
      </c>
      <c r="C1112" s="465" t="s">
        <v>2356</v>
      </c>
      <c r="D1112" s="466" t="s">
        <v>60</v>
      </c>
      <c r="E1112" s="466"/>
      <c r="F1112" s="466"/>
      <c r="G1112" s="466"/>
      <c r="H1112" s="466" t="s">
        <v>127</v>
      </c>
      <c r="I1112" s="465" t="s">
        <v>34</v>
      </c>
      <c r="J1112" s="1025" t="s">
        <v>2357</v>
      </c>
      <c r="K1112" s="488"/>
      <c r="L1112" s="466">
        <v>3</v>
      </c>
      <c r="M1112" s="469">
        <f>IF(O1112="tbc","",(IFERROR(EDATE($N1112,-3),"Invalid procurement method or date entered")))</f>
        <v>44186</v>
      </c>
      <c r="N1112" s="469">
        <f>IF(O1112="tbc","",(IFERROR(EDATE(O1112,-L1112),"Invalid procurement method or date entered")))</f>
        <v>44276</v>
      </c>
      <c r="O1112" s="489">
        <v>44368</v>
      </c>
      <c r="P1112" s="490" t="s">
        <v>125</v>
      </c>
      <c r="Q1112" s="490" t="s">
        <v>125</v>
      </c>
      <c r="R1112" s="483">
        <v>468263</v>
      </c>
      <c r="S1112" s="470" t="s">
        <v>129</v>
      </c>
      <c r="T1112" s="470" t="s">
        <v>144</v>
      </c>
      <c r="U1112" s="470" t="s">
        <v>125</v>
      </c>
      <c r="V1112" s="470"/>
      <c r="W1112" s="465" t="s">
        <v>2190</v>
      </c>
    </row>
    <row r="1113" spans="1:31" ht="66">
      <c r="A1113" s="852"/>
      <c r="B1113" s="520" t="s">
        <v>48</v>
      </c>
      <c r="C1113" s="466" t="s">
        <v>125</v>
      </c>
      <c r="D1113" s="466" t="s">
        <v>60</v>
      </c>
      <c r="E1113" s="466"/>
      <c r="F1113" s="466"/>
      <c r="G1113" s="466"/>
      <c r="H1113" s="466" t="s">
        <v>127</v>
      </c>
      <c r="I1113" s="466" t="s">
        <v>34</v>
      </c>
      <c r="J1113" s="1025" t="s">
        <v>2358</v>
      </c>
      <c r="K1113" s="488"/>
      <c r="L1113" s="466">
        <v>2</v>
      </c>
      <c r="M1113" s="469">
        <f>IF(O1113="tbc","",(IFERROR(EDATE($N1113,-3),"Invalid procurement method or date entered")))</f>
        <v>44217</v>
      </c>
      <c r="N1113" s="469">
        <f>IF(O1113="tbc","",(IFERROR(EDATE(O1113,-L1113),"Invalid procurement method or date entered")))</f>
        <v>44307</v>
      </c>
      <c r="O1113" s="489">
        <v>44368</v>
      </c>
      <c r="P1113" s="491" t="s">
        <v>125</v>
      </c>
      <c r="Q1113" s="491" t="s">
        <v>125</v>
      </c>
      <c r="R1113" s="483">
        <v>60000</v>
      </c>
      <c r="S1113" s="470" t="s">
        <v>163</v>
      </c>
      <c r="T1113" s="470" t="s">
        <v>36</v>
      </c>
      <c r="U1113" s="470" t="s">
        <v>125</v>
      </c>
      <c r="V1113" s="470"/>
      <c r="W1113" s="466" t="s">
        <v>2190</v>
      </c>
    </row>
    <row r="1114" spans="1:31" ht="72">
      <c r="A1114" s="1364"/>
      <c r="B1114" s="1347"/>
      <c r="C1114" s="4" t="s">
        <v>3768</v>
      </c>
      <c r="D1114" s="1335" t="s">
        <v>29</v>
      </c>
      <c r="E1114" s="1335"/>
      <c r="F1114" s="1335"/>
      <c r="G1114" s="1335"/>
      <c r="H1114" s="5" t="s">
        <v>81</v>
      </c>
      <c r="I1114" s="1335" t="s">
        <v>34</v>
      </c>
      <c r="J1114" s="1339" t="s">
        <v>1116</v>
      </c>
      <c r="K1114" s="1327"/>
      <c r="L1114" s="5" t="e">
        <f>IF(OR(S1114=#REF!,S1114=#REF!,S1114=#REF!,S1114=#REF!,S1114=#REF!,S1114=#REF!,S1114=#REF!,S1114=#REF!),12,IF(OR(S1114=#REF!,S1114=#REF!,S1114=#REF!,S1114=#REF!,S1114=#REF!,S1114=#REF!,S1114=#REF!),3,IF(S1114=#REF!,1,IF(S1114=#REF!,18,IF(OR(S1114=#REF!,S1114=#REF!,S1114=#REF!,S1114=#REF!,S1114=#REF!),14,"Invalid proposed procurement method")))))</f>
        <v>#REF!</v>
      </c>
      <c r="M1114" s="193" t="str">
        <f>IFERROR(EDATE($N1114,-3),"Invalid procurement method or date entered")</f>
        <v>Invalid procurement method or date entered</v>
      </c>
      <c r="N1114" s="193" t="str">
        <f>IFERROR(EDATE(O1114,-L1114),"Invalid procurement method or date entered")</f>
        <v>Invalid procurement method or date entered</v>
      </c>
      <c r="O1114" s="1337">
        <v>44370</v>
      </c>
      <c r="P1114" s="12">
        <v>18</v>
      </c>
      <c r="Q1114" s="1335">
        <v>18</v>
      </c>
      <c r="R1114" s="18" t="s">
        <v>35</v>
      </c>
      <c r="S1114" s="193" t="s">
        <v>217</v>
      </c>
      <c r="T1114" s="11" t="s">
        <v>54</v>
      </c>
      <c r="U1114" s="14" t="s">
        <v>37</v>
      </c>
      <c r="V1114" s="14"/>
      <c r="W1114" s="5" t="s">
        <v>1117</v>
      </c>
      <c r="X1114" s="1342" t="s">
        <v>94</v>
      </c>
      <c r="Y1114" s="1342" t="s">
        <v>457</v>
      </c>
      <c r="Z1114" s="74" t="s">
        <v>80</v>
      </c>
      <c r="AA1114" s="74" t="s">
        <v>54</v>
      </c>
      <c r="AB1114" s="316" t="s">
        <v>1253</v>
      </c>
      <c r="AC1114" s="1341" t="s">
        <v>4075</v>
      </c>
      <c r="AD1114" s="70" t="s">
        <v>81</v>
      </c>
      <c r="AE1114" s="306"/>
    </row>
    <row r="1115" spans="1:31" ht="52.8">
      <c r="A1115" s="852"/>
      <c r="B1115" s="520" t="s">
        <v>48</v>
      </c>
      <c r="C1115" s="466" t="s">
        <v>2393</v>
      </c>
      <c r="D1115" s="466" t="s">
        <v>60</v>
      </c>
      <c r="E1115" s="466"/>
      <c r="F1115" s="466"/>
      <c r="G1115" s="466"/>
      <c r="H1115" s="466" t="s">
        <v>127</v>
      </c>
      <c r="I1115" s="474" t="s">
        <v>34</v>
      </c>
      <c r="J1115" s="1024" t="s">
        <v>2394</v>
      </c>
      <c r="K1115" s="467"/>
      <c r="L1115" s="466">
        <v>3</v>
      </c>
      <c r="M1115" s="469">
        <f>IF(O1115="tbc","",(IFERROR(EDATE($N1115,-3),"Invalid procurement method or date entered")))</f>
        <v>44190</v>
      </c>
      <c r="N1115" s="469">
        <f>IF(O1115="tbc","",(IFERROR(EDATE(O1115,-L1115),"Invalid procurement method or date entered")))</f>
        <v>44280</v>
      </c>
      <c r="O1115" s="470">
        <v>44372</v>
      </c>
      <c r="P1115" s="471">
        <v>2</v>
      </c>
      <c r="Q1115" s="474">
        <v>2</v>
      </c>
      <c r="R1115" s="483">
        <v>40000</v>
      </c>
      <c r="S1115" s="470" t="s">
        <v>163</v>
      </c>
      <c r="T1115" s="470" t="s">
        <v>36</v>
      </c>
      <c r="U1115" s="466" t="s">
        <v>125</v>
      </c>
      <c r="V1115" s="466"/>
      <c r="W1115" s="466"/>
    </row>
    <row r="1116" spans="1:31" ht="66">
      <c r="A1116" s="852"/>
      <c r="B1116" s="520" t="s">
        <v>48</v>
      </c>
      <c r="C1116" s="465" t="s">
        <v>2329</v>
      </c>
      <c r="D1116" s="466" t="s">
        <v>60</v>
      </c>
      <c r="E1116" s="466"/>
      <c r="F1116" s="466"/>
      <c r="G1116" s="466"/>
      <c r="H1116" s="466" t="s">
        <v>127</v>
      </c>
      <c r="I1116" s="465" t="s">
        <v>34</v>
      </c>
      <c r="J1116" s="1025" t="s">
        <v>2330</v>
      </c>
      <c r="K1116" s="488"/>
      <c r="L1116" s="466">
        <v>3</v>
      </c>
      <c r="M1116" s="469">
        <f>IF(O1116="tbc","",(IFERROR(EDATE($N1116,-3),"Invalid procurement method or date entered")))</f>
        <v>44193</v>
      </c>
      <c r="N1116" s="469">
        <f>IF(O1116="tbc","",(IFERROR(EDATE(O1116,-L1116),"Invalid procurement method or date entered")))</f>
        <v>44283</v>
      </c>
      <c r="O1116" s="489">
        <v>44375</v>
      </c>
      <c r="P1116" s="490">
        <v>3</v>
      </c>
      <c r="Q1116" s="490">
        <v>3</v>
      </c>
      <c r="R1116" s="483">
        <v>788000</v>
      </c>
      <c r="S1116" s="470" t="s">
        <v>129</v>
      </c>
      <c r="T1116" s="470" t="s">
        <v>144</v>
      </c>
      <c r="U1116" s="470" t="s">
        <v>125</v>
      </c>
      <c r="V1116" s="470"/>
      <c r="W1116" s="465" t="s">
        <v>2190</v>
      </c>
    </row>
    <row r="1117" spans="1:31" ht="72">
      <c r="A1117" s="889"/>
      <c r="B1117" s="1351"/>
      <c r="C1117" s="4" t="s">
        <v>35</v>
      </c>
      <c r="D1117" s="9" t="s">
        <v>29</v>
      </c>
      <c r="E1117" s="9"/>
      <c r="F1117" s="9"/>
      <c r="G1117" s="9"/>
      <c r="H1117" s="5" t="s">
        <v>70</v>
      </c>
      <c r="I1117" s="9" t="s">
        <v>64</v>
      </c>
      <c r="J1117" s="60" t="s">
        <v>4076</v>
      </c>
      <c r="K1117" s="60"/>
      <c r="L1117" s="5" t="e">
        <f>IF(OR(S1117=#REF!,S1117=#REF!,S1117=#REF!,S1117=#REF!,S1117=#REF!,S1117=#REF!,S1117=#REF!,S1117=#REF!),12,IF(OR(S1117=#REF!,S1117=#REF!,S1117=#REF!,S1117=#REF!,S1117=#REF!,S1117=#REF!,S1117=#REF!),3,IF(S1117=#REF!,1,IF(S1117=#REF!,18,IF(OR(S1117=#REF!,S1117=#REF!,S1117=#REF!,S1117=#REF!,S1117=#REF!),14,"Invalid proposed procurement method")))))</f>
        <v>#REF!</v>
      </c>
      <c r="M1117" s="193" t="str">
        <f>IFERROR(EDATE($N1117,-3),"Invalid procurement method or date entered")</f>
        <v>Invalid procurement method or date entered</v>
      </c>
      <c r="N1117" s="193" t="str">
        <f t="shared" ref="N1117:N1123" si="15">IFERROR(EDATE(O1117,-L1117),"Invalid procurement method or date entered")</f>
        <v>Invalid procurement method or date entered</v>
      </c>
      <c r="O1117" s="46">
        <v>44378</v>
      </c>
      <c r="P1117" s="15">
        <v>72</v>
      </c>
      <c r="Q1117" s="46" t="s">
        <v>4077</v>
      </c>
      <c r="R1117" s="18" t="s">
        <v>1195</v>
      </c>
      <c r="S1117" s="5" t="s">
        <v>66</v>
      </c>
      <c r="T1117" s="9" t="s">
        <v>54</v>
      </c>
      <c r="U1117" s="15" t="s">
        <v>37</v>
      </c>
      <c r="V1117" s="15"/>
      <c r="W1117" s="5" t="s">
        <v>4078</v>
      </c>
      <c r="X1117" s="74" t="s">
        <v>1088</v>
      </c>
      <c r="Y1117" s="74" t="s">
        <v>457</v>
      </c>
      <c r="Z1117" s="74" t="s">
        <v>95</v>
      </c>
      <c r="AA1117" s="820" t="s">
        <v>41</v>
      </c>
      <c r="AB1117" s="316">
        <v>44407</v>
      </c>
      <c r="AC1117" s="747" t="s">
        <v>4079</v>
      </c>
      <c r="AD1117" s="70" t="s">
        <v>81</v>
      </c>
      <c r="AE1117" s="204"/>
    </row>
    <row r="1118" spans="1:31" ht="172.8">
      <c r="A1118" s="888"/>
      <c r="B1118" s="1351" t="s">
        <v>28</v>
      </c>
      <c r="C1118" s="4" t="s">
        <v>35</v>
      </c>
      <c r="D1118" s="5" t="s">
        <v>60</v>
      </c>
      <c r="E1118" s="5"/>
      <c r="F1118" s="5"/>
      <c r="G1118" s="5"/>
      <c r="H1118" s="5" t="s">
        <v>260</v>
      </c>
      <c r="I1118" s="5" t="s">
        <v>34</v>
      </c>
      <c r="J1118" s="16" t="s">
        <v>4080</v>
      </c>
      <c r="K1118" s="16"/>
      <c r="L1118" s="5" t="e">
        <f>IF(OR(S1118=#REF!,S1118=#REF!,S1118=#REF!,S1118=#REF!,S1118=#REF!,S1118=#REF!,S1118=#REF!,S1118=#REF!),12,IF(OR(S1118=#REF!,S1118=#REF!,S1118=#REF!,S1118=#REF!,S1118=#REF!,S1118=#REF!,S1118=#REF!),3,IF(S1118=#REF!,1,IF(S1118=#REF!,18,IF(OR(S1118=#REF!,S1118=#REF!,S1118=#REF!,S1118=#REF!,S1118=#REF!),14,"Invalid proposed procurement method")))))</f>
        <v>#REF!</v>
      </c>
      <c r="M1118" s="193" t="str">
        <f>IFERROR(EDATE($N1118,-3),"Invalid procurement method or date entered")</f>
        <v>Invalid procurement method or date entered</v>
      </c>
      <c r="N1118" s="193" t="str">
        <f t="shared" si="15"/>
        <v>Invalid procurement method or date entered</v>
      </c>
      <c r="O1118" s="176">
        <v>44378</v>
      </c>
      <c r="P1118" s="66">
        <v>12</v>
      </c>
      <c r="Q1118" s="66">
        <v>12</v>
      </c>
      <c r="R1118" s="1366">
        <v>25000</v>
      </c>
      <c r="S1118" s="1335" t="s">
        <v>909</v>
      </c>
      <c r="T1118" s="9" t="s">
        <v>54</v>
      </c>
      <c r="U1118" s="15" t="s">
        <v>37</v>
      </c>
      <c r="V1118" s="15"/>
      <c r="W1118" s="5" t="s">
        <v>4081</v>
      </c>
      <c r="X1118" s="74" t="s">
        <v>453</v>
      </c>
      <c r="Y1118" s="74" t="s">
        <v>39</v>
      </c>
      <c r="Z1118" s="74" t="s">
        <v>95</v>
      </c>
      <c r="AA1118" s="74" t="s">
        <v>41</v>
      </c>
      <c r="AB1118" s="316" t="s">
        <v>1245</v>
      </c>
      <c r="AC1118" s="95" t="s">
        <v>4082</v>
      </c>
      <c r="AD1118" s="70" t="s">
        <v>63</v>
      </c>
      <c r="AE1118" s="191">
        <v>9745.82</v>
      </c>
    </row>
    <row r="1119" spans="1:31" ht="43.2">
      <c r="A1119" s="888"/>
      <c r="B1119" s="323" t="s">
        <v>145</v>
      </c>
      <c r="C1119" s="323"/>
      <c r="D1119" s="8" t="s">
        <v>718</v>
      </c>
      <c r="E1119" s="8"/>
      <c r="F1119" s="8"/>
      <c r="G1119" s="8"/>
      <c r="H1119" s="8" t="s">
        <v>148</v>
      </c>
      <c r="I1119" s="8" t="s">
        <v>64</v>
      </c>
      <c r="J1119" s="16" t="s">
        <v>719</v>
      </c>
      <c r="K1119" s="8"/>
      <c r="L1119" s="78">
        <v>14</v>
      </c>
      <c r="M1119" s="394">
        <f>IFERROR(EDATE(N1119,-3),"Invalid procurement method or date entered")</f>
        <v>43862</v>
      </c>
      <c r="N1119" s="346">
        <f t="shared" si="15"/>
        <v>43952</v>
      </c>
      <c r="O1119" s="328">
        <v>44378</v>
      </c>
      <c r="P1119" s="330">
        <v>60</v>
      </c>
      <c r="Q1119" s="330" t="s">
        <v>1265</v>
      </c>
      <c r="R1119" s="153">
        <v>2300000</v>
      </c>
      <c r="S1119" s="153" t="s">
        <v>607</v>
      </c>
      <c r="T1119" s="5" t="s">
        <v>54</v>
      </c>
      <c r="U1119" s="5" t="s">
        <v>43</v>
      </c>
      <c r="V1119" s="5"/>
      <c r="W1119" s="8" t="s">
        <v>4083</v>
      </c>
      <c r="X1119" s="95" t="s">
        <v>150</v>
      </c>
      <c r="Y1119" s="95" t="s">
        <v>39</v>
      </c>
      <c r="Z1119" s="95"/>
      <c r="AA1119" s="837" t="s">
        <v>41</v>
      </c>
      <c r="AB1119" s="390">
        <v>44180</v>
      </c>
      <c r="AC1119" s="387" t="s">
        <v>4084</v>
      </c>
      <c r="AD1119" s="387"/>
      <c r="AE1119" s="387"/>
    </row>
    <row r="1120" spans="1:31" ht="72">
      <c r="A1120" s="888"/>
      <c r="B1120" s="194" t="s">
        <v>145</v>
      </c>
      <c r="C1120" s="194" t="s">
        <v>35</v>
      </c>
      <c r="D1120" s="8" t="s">
        <v>92</v>
      </c>
      <c r="E1120" s="8"/>
      <c r="F1120" s="8"/>
      <c r="G1120" s="8"/>
      <c r="H1120" s="16" t="s">
        <v>148</v>
      </c>
      <c r="I1120" s="16" t="s">
        <v>64</v>
      </c>
      <c r="J1120" s="16" t="s">
        <v>4085</v>
      </c>
      <c r="K1120" s="8"/>
      <c r="L1120" s="5">
        <v>12</v>
      </c>
      <c r="M1120" s="193">
        <f>IFERROR(EDATE(N1120,-3),"Invalid procurement method or date entered")</f>
        <v>43922</v>
      </c>
      <c r="N1120" s="143">
        <f t="shared" si="15"/>
        <v>44013</v>
      </c>
      <c r="O1120" s="328">
        <v>44378</v>
      </c>
      <c r="P1120" s="43">
        <v>60</v>
      </c>
      <c r="Q1120" s="320">
        <v>60</v>
      </c>
      <c r="R1120" s="153">
        <v>90000000</v>
      </c>
      <c r="S1120" s="153" t="s">
        <v>66</v>
      </c>
      <c r="T1120" s="326" t="s">
        <v>41</v>
      </c>
      <c r="U1120" s="326" t="s">
        <v>4086</v>
      </c>
      <c r="V1120" s="326"/>
      <c r="W1120" s="8" t="s">
        <v>4087</v>
      </c>
      <c r="X1120" s="105" t="s">
        <v>428</v>
      </c>
      <c r="Y1120" s="105" t="s">
        <v>457</v>
      </c>
      <c r="Z1120" s="105"/>
      <c r="AA1120" s="829" t="s">
        <v>80</v>
      </c>
      <c r="AB1120" s="839" t="s">
        <v>41</v>
      </c>
      <c r="AC1120" s="447">
        <v>44770</v>
      </c>
      <c r="AD1120" s="447"/>
      <c r="AE1120" s="447"/>
    </row>
    <row r="1121" spans="1:31" ht="72">
      <c r="A1121" s="888"/>
      <c r="B1121" s="194" t="s">
        <v>145</v>
      </c>
      <c r="C1121" s="194" t="s">
        <v>35</v>
      </c>
      <c r="D1121" s="8" t="s">
        <v>92</v>
      </c>
      <c r="E1121" s="8"/>
      <c r="F1121" s="8"/>
      <c r="G1121" s="8"/>
      <c r="H1121" s="16" t="s">
        <v>148</v>
      </c>
      <c r="I1121" s="16" t="s">
        <v>64</v>
      </c>
      <c r="J1121" s="16" t="s">
        <v>4088</v>
      </c>
      <c r="K1121" s="8"/>
      <c r="L1121" s="5">
        <v>12</v>
      </c>
      <c r="M1121" s="193">
        <f>IFERROR(EDATE(N1121,-3),"Invalid procurement method or date entered")</f>
        <v>43922</v>
      </c>
      <c r="N1121" s="143">
        <f t="shared" si="15"/>
        <v>44013</v>
      </c>
      <c r="O1121" s="328">
        <v>44378</v>
      </c>
      <c r="P1121" s="43">
        <v>60</v>
      </c>
      <c r="Q1121" s="320">
        <v>60</v>
      </c>
      <c r="R1121" s="153">
        <v>18000000</v>
      </c>
      <c r="S1121" s="153" t="s">
        <v>66</v>
      </c>
      <c r="T1121" s="326" t="s">
        <v>41</v>
      </c>
      <c r="U1121" s="326" t="s">
        <v>4086</v>
      </c>
      <c r="V1121" s="326"/>
      <c r="W1121" s="8" t="s">
        <v>4089</v>
      </c>
      <c r="X1121" s="105" t="s">
        <v>428</v>
      </c>
      <c r="Y1121" s="105" t="s">
        <v>457</v>
      </c>
      <c r="Z1121" s="105"/>
      <c r="AA1121" s="829" t="s">
        <v>80</v>
      </c>
      <c r="AB1121" s="839" t="s">
        <v>41</v>
      </c>
      <c r="AC1121" s="447">
        <v>44770</v>
      </c>
      <c r="AD1121" s="447"/>
      <c r="AE1121" s="447"/>
    </row>
    <row r="1122" spans="1:31" ht="28.8">
      <c r="A1122" s="888"/>
      <c r="B1122" s="194" t="s">
        <v>145</v>
      </c>
      <c r="C1122" s="194" t="s">
        <v>35</v>
      </c>
      <c r="D1122" s="8" t="s">
        <v>82</v>
      </c>
      <c r="E1122" s="8"/>
      <c r="F1122" s="8"/>
      <c r="G1122" s="8"/>
      <c r="H1122" s="16" t="s">
        <v>316</v>
      </c>
      <c r="I1122" s="16" t="s">
        <v>64</v>
      </c>
      <c r="J1122" s="16" t="s">
        <v>317</v>
      </c>
      <c r="K1122" s="8"/>
      <c r="L1122" s="5">
        <v>12</v>
      </c>
      <c r="M1122" s="193">
        <f>IFERROR(EDATE(N1122,-3),"Invalid procurement method or date entered")</f>
        <v>43922</v>
      </c>
      <c r="N1122" s="143">
        <f t="shared" si="15"/>
        <v>44013</v>
      </c>
      <c r="O1122" s="328">
        <v>44378</v>
      </c>
      <c r="P1122" s="330">
        <v>24</v>
      </c>
      <c r="Q1122" s="330" t="s">
        <v>1297</v>
      </c>
      <c r="R1122" s="153">
        <v>64000</v>
      </c>
      <c r="S1122" s="5" t="s">
        <v>66</v>
      </c>
      <c r="T1122" s="326" t="s">
        <v>54</v>
      </c>
      <c r="U1122" s="326" t="s">
        <v>43</v>
      </c>
      <c r="V1122" s="326"/>
      <c r="W1122" s="8" t="s">
        <v>1317</v>
      </c>
      <c r="X1122" s="105" t="s">
        <v>428</v>
      </c>
      <c r="Y1122" s="105" t="s">
        <v>457</v>
      </c>
      <c r="Z1122" s="105"/>
      <c r="AA1122" s="829" t="s">
        <v>40</v>
      </c>
      <c r="AB1122" s="839" t="s">
        <v>54</v>
      </c>
      <c r="AC1122" s="447">
        <v>44608</v>
      </c>
      <c r="AD1122" s="447"/>
      <c r="AE1122" s="447"/>
    </row>
    <row r="1123" spans="1:31" ht="43.2">
      <c r="A1123" s="888"/>
      <c r="B1123" s="323" t="s">
        <v>145</v>
      </c>
      <c r="C1123" s="323"/>
      <c r="D1123" s="8" t="s">
        <v>92</v>
      </c>
      <c r="E1123" s="8"/>
      <c r="F1123" s="8"/>
      <c r="G1123" s="8"/>
      <c r="H1123" s="8" t="s">
        <v>148</v>
      </c>
      <c r="I1123" s="8" t="s">
        <v>34</v>
      </c>
      <c r="J1123" s="16" t="s">
        <v>4090</v>
      </c>
      <c r="K1123" s="8"/>
      <c r="L1123" s="78">
        <v>12</v>
      </c>
      <c r="M1123" s="394" t="s">
        <v>4091</v>
      </c>
      <c r="N1123" s="346">
        <f t="shared" si="15"/>
        <v>44013</v>
      </c>
      <c r="O1123" s="328">
        <v>44378</v>
      </c>
      <c r="P1123" s="66">
        <v>12</v>
      </c>
      <c r="Q1123" s="66">
        <v>12</v>
      </c>
      <c r="R1123" s="153">
        <v>40000</v>
      </c>
      <c r="S1123" s="5" t="s">
        <v>163</v>
      </c>
      <c r="T1123" s="326" t="s">
        <v>54</v>
      </c>
      <c r="U1123" s="326"/>
      <c r="V1123" s="326"/>
      <c r="W1123" s="8" t="s">
        <v>3620</v>
      </c>
      <c r="X1123" s="95" t="s">
        <v>1119</v>
      </c>
      <c r="Y1123" s="95" t="s">
        <v>59</v>
      </c>
      <c r="Z1123" s="95"/>
      <c r="AA1123" s="95" t="s">
        <v>40</v>
      </c>
      <c r="AB1123" s="837"/>
      <c r="AC1123" s="390">
        <v>44333</v>
      </c>
      <c r="AD1123" s="390"/>
      <c r="AE1123" s="390"/>
    </row>
    <row r="1124" spans="1:31" ht="66">
      <c r="A1124" s="852"/>
      <c r="B1124" s="520" t="s">
        <v>48</v>
      </c>
      <c r="C1124" s="465" t="s">
        <v>125</v>
      </c>
      <c r="D1124" s="466" t="s">
        <v>82</v>
      </c>
      <c r="E1124" s="466"/>
      <c r="F1124" s="466"/>
      <c r="G1124" s="466"/>
      <c r="H1124" s="466" t="s">
        <v>49</v>
      </c>
      <c r="I1124" s="474" t="s">
        <v>34</v>
      </c>
      <c r="J1124" s="549" t="s">
        <v>2212</v>
      </c>
      <c r="K1124" s="484"/>
      <c r="L1124" s="484"/>
      <c r="M1124" s="466">
        <v>1</v>
      </c>
      <c r="N1124" s="469" t="str">
        <f>IF(O1124="tbc","",(IFERROR(EDATE(#REF!,-3),"Invalid procurement method or date entered")))</f>
        <v>Invalid procurement method or date entered</v>
      </c>
      <c r="O1124" s="469">
        <v>44378</v>
      </c>
      <c r="P1124" s="491" t="s">
        <v>125</v>
      </c>
      <c r="Q1124" s="491" t="s">
        <v>125</v>
      </c>
      <c r="R1124" s="493">
        <v>170000</v>
      </c>
      <c r="S1124" s="466" t="s">
        <v>173</v>
      </c>
      <c r="T1124" s="466" t="s">
        <v>36</v>
      </c>
      <c r="U1124" s="469" t="s">
        <v>125</v>
      </c>
      <c r="V1124" s="469"/>
      <c r="W1124" s="474" t="s">
        <v>2213</v>
      </c>
    </row>
    <row r="1125" spans="1:31" ht="52.8">
      <c r="A1125" s="852"/>
      <c r="B1125" s="520" t="s">
        <v>48</v>
      </c>
      <c r="C1125" s="465" t="s">
        <v>2309</v>
      </c>
      <c r="D1125" s="466" t="s">
        <v>82</v>
      </c>
      <c r="E1125" s="466"/>
      <c r="F1125" s="466"/>
      <c r="G1125" s="466"/>
      <c r="H1125" s="466" t="s">
        <v>49</v>
      </c>
      <c r="I1125" s="474" t="s">
        <v>34</v>
      </c>
      <c r="J1125" s="1024" t="s">
        <v>2310</v>
      </c>
      <c r="K1125" s="467"/>
      <c r="L1125" s="466">
        <v>12</v>
      </c>
      <c r="M1125" s="469">
        <f t="shared" ref="M1125:M1132" si="16">IF(O1125="tbc","",(IFERROR(EDATE($N1125,-3),"Invalid procurement method or date entered")))</f>
        <v>43922</v>
      </c>
      <c r="N1125" s="469">
        <f t="shared" ref="N1125:N1132" si="17">IF(O1125="tbc","",(IFERROR(EDATE(O1125,-L1125),"Invalid procurement method or date entered")))</f>
        <v>44013</v>
      </c>
      <c r="O1125" s="470">
        <v>44378</v>
      </c>
      <c r="P1125" s="471" t="s">
        <v>125</v>
      </c>
      <c r="Q1125" s="471" t="s">
        <v>125</v>
      </c>
      <c r="R1125" s="483">
        <v>148000</v>
      </c>
      <c r="S1125" s="470" t="s">
        <v>173</v>
      </c>
      <c r="T1125" s="470" t="s">
        <v>36</v>
      </c>
      <c r="U1125" s="470" t="s">
        <v>125</v>
      </c>
      <c r="V1125" s="470"/>
      <c r="W1125" s="513" t="s">
        <v>1299</v>
      </c>
    </row>
    <row r="1126" spans="1:31" ht="52.8">
      <c r="A1126" s="852"/>
      <c r="B1126" s="520" t="s">
        <v>48</v>
      </c>
      <c r="C1126" s="465" t="s">
        <v>2333</v>
      </c>
      <c r="D1126" s="466" t="s">
        <v>82</v>
      </c>
      <c r="E1126" s="466"/>
      <c r="F1126" s="466"/>
      <c r="G1126" s="466"/>
      <c r="H1126" s="466" t="s">
        <v>49</v>
      </c>
      <c r="I1126" s="474" t="s">
        <v>34</v>
      </c>
      <c r="J1126" s="1024" t="s">
        <v>2334</v>
      </c>
      <c r="K1126" s="467"/>
      <c r="L1126" s="466">
        <v>12</v>
      </c>
      <c r="M1126" s="469">
        <f t="shared" si="16"/>
        <v>43922</v>
      </c>
      <c r="N1126" s="469">
        <f t="shared" si="17"/>
        <v>44013</v>
      </c>
      <c r="O1126" s="470">
        <v>44378</v>
      </c>
      <c r="P1126" s="471">
        <v>2</v>
      </c>
      <c r="Q1126" s="471">
        <v>2</v>
      </c>
      <c r="R1126" s="483">
        <v>150000</v>
      </c>
      <c r="S1126" s="470" t="s">
        <v>173</v>
      </c>
      <c r="T1126" s="470" t="s">
        <v>36</v>
      </c>
      <c r="U1126" s="470" t="s">
        <v>125</v>
      </c>
      <c r="V1126" s="470"/>
      <c r="W1126" s="513" t="s">
        <v>1299</v>
      </c>
    </row>
    <row r="1127" spans="1:31" ht="52.8">
      <c r="A1127" s="852"/>
      <c r="B1127" s="520" t="s">
        <v>48</v>
      </c>
      <c r="C1127" s="465" t="s">
        <v>2335</v>
      </c>
      <c r="D1127" s="466" t="s">
        <v>82</v>
      </c>
      <c r="E1127" s="466"/>
      <c r="F1127" s="466"/>
      <c r="G1127" s="466"/>
      <c r="H1127" s="466" t="s">
        <v>49</v>
      </c>
      <c r="I1127" s="474" t="s">
        <v>34</v>
      </c>
      <c r="J1127" s="549" t="s">
        <v>2336</v>
      </c>
      <c r="K1127" s="484"/>
      <c r="L1127" s="466">
        <v>1</v>
      </c>
      <c r="M1127" s="469">
        <f t="shared" si="16"/>
        <v>44256</v>
      </c>
      <c r="N1127" s="469">
        <f t="shared" si="17"/>
        <v>44348</v>
      </c>
      <c r="O1127" s="470">
        <v>44378</v>
      </c>
      <c r="P1127" s="471">
        <v>2</v>
      </c>
      <c r="Q1127" s="471">
        <v>2</v>
      </c>
      <c r="R1127" s="483">
        <v>132000</v>
      </c>
      <c r="S1127" s="470" t="s">
        <v>173</v>
      </c>
      <c r="T1127" s="470" t="s">
        <v>125</v>
      </c>
      <c r="U1127" s="470" t="s">
        <v>125</v>
      </c>
      <c r="V1127" s="470"/>
      <c r="W1127" s="513" t="s">
        <v>1299</v>
      </c>
    </row>
    <row r="1128" spans="1:31" ht="52.8">
      <c r="A1128" s="852"/>
      <c r="B1128" s="520" t="s">
        <v>48</v>
      </c>
      <c r="C1128" s="466" t="s">
        <v>125</v>
      </c>
      <c r="D1128" s="466" t="s">
        <v>82</v>
      </c>
      <c r="E1128" s="466"/>
      <c r="F1128" s="466"/>
      <c r="G1128" s="466"/>
      <c r="H1128" s="466" t="s">
        <v>49</v>
      </c>
      <c r="I1128" s="474" t="s">
        <v>34</v>
      </c>
      <c r="J1128" s="549" t="s">
        <v>2347</v>
      </c>
      <c r="K1128" s="484"/>
      <c r="L1128" s="466">
        <v>1</v>
      </c>
      <c r="M1128" s="469">
        <f t="shared" si="16"/>
        <v>44256</v>
      </c>
      <c r="N1128" s="469">
        <f t="shared" si="17"/>
        <v>44348</v>
      </c>
      <c r="O1128" s="469">
        <v>44378</v>
      </c>
      <c r="P1128" s="491">
        <v>2</v>
      </c>
      <c r="Q1128" s="491">
        <v>2</v>
      </c>
      <c r="R1128" s="493">
        <v>95000</v>
      </c>
      <c r="S1128" s="470" t="s">
        <v>173</v>
      </c>
      <c r="T1128" s="470" t="s">
        <v>36</v>
      </c>
      <c r="U1128" s="466" t="s">
        <v>125</v>
      </c>
      <c r="V1128" s="466"/>
      <c r="W1128" s="475"/>
    </row>
    <row r="1129" spans="1:31" ht="52.8">
      <c r="A1129" s="852"/>
      <c r="B1129" s="520" t="s">
        <v>48</v>
      </c>
      <c r="C1129" s="465" t="s">
        <v>2361</v>
      </c>
      <c r="D1129" s="466" t="s">
        <v>82</v>
      </c>
      <c r="E1129" s="466"/>
      <c r="F1129" s="466"/>
      <c r="G1129" s="466"/>
      <c r="H1129" s="466" t="s">
        <v>49</v>
      </c>
      <c r="I1129" s="474" t="s">
        <v>34</v>
      </c>
      <c r="J1129" s="1024" t="s">
        <v>2362</v>
      </c>
      <c r="K1129" s="467"/>
      <c r="L1129" s="466">
        <v>1</v>
      </c>
      <c r="M1129" s="469">
        <f t="shared" si="16"/>
        <v>44256</v>
      </c>
      <c r="N1129" s="469">
        <f t="shared" si="17"/>
        <v>44348</v>
      </c>
      <c r="O1129" s="470">
        <v>44378</v>
      </c>
      <c r="P1129" s="471">
        <v>2</v>
      </c>
      <c r="Q1129" s="471">
        <v>2</v>
      </c>
      <c r="R1129" s="483">
        <v>145000</v>
      </c>
      <c r="S1129" s="470" t="s">
        <v>173</v>
      </c>
      <c r="T1129" s="470" t="s">
        <v>36</v>
      </c>
      <c r="U1129" s="470" t="s">
        <v>125</v>
      </c>
      <c r="V1129" s="470"/>
      <c r="W1129" s="513" t="s">
        <v>1304</v>
      </c>
    </row>
    <row r="1130" spans="1:31" ht="52.8">
      <c r="A1130" s="852"/>
      <c r="B1130" s="520" t="s">
        <v>48</v>
      </c>
      <c r="C1130" s="465" t="s">
        <v>2371</v>
      </c>
      <c r="D1130" s="466" t="s">
        <v>82</v>
      </c>
      <c r="E1130" s="466"/>
      <c r="F1130" s="466"/>
      <c r="G1130" s="466"/>
      <c r="H1130" s="466" t="s">
        <v>49</v>
      </c>
      <c r="I1130" s="474" t="s">
        <v>34</v>
      </c>
      <c r="J1130" s="549" t="s">
        <v>2372</v>
      </c>
      <c r="K1130" s="484"/>
      <c r="L1130" s="466">
        <v>12</v>
      </c>
      <c r="M1130" s="469">
        <f t="shared" si="16"/>
        <v>43922</v>
      </c>
      <c r="N1130" s="469">
        <f t="shared" si="17"/>
        <v>44013</v>
      </c>
      <c r="O1130" s="469">
        <v>44378</v>
      </c>
      <c r="P1130" s="491">
        <v>2</v>
      </c>
      <c r="Q1130" s="491">
        <v>2</v>
      </c>
      <c r="R1130" s="493">
        <v>120000</v>
      </c>
      <c r="S1130" s="470" t="s">
        <v>173</v>
      </c>
      <c r="T1130" s="466" t="s">
        <v>36</v>
      </c>
      <c r="U1130" s="469" t="s">
        <v>125</v>
      </c>
      <c r="V1130" s="469"/>
      <c r="W1130" s="513" t="s">
        <v>2373</v>
      </c>
    </row>
    <row r="1131" spans="1:31" ht="66">
      <c r="A1131" s="852"/>
      <c r="B1131" s="520" t="s">
        <v>48</v>
      </c>
      <c r="C1131" s="465" t="s">
        <v>2374</v>
      </c>
      <c r="D1131" s="466" t="s">
        <v>60</v>
      </c>
      <c r="E1131" s="466"/>
      <c r="F1131" s="466"/>
      <c r="G1131" s="466"/>
      <c r="H1131" s="466" t="s">
        <v>127</v>
      </c>
      <c r="I1131" s="465" t="s">
        <v>34</v>
      </c>
      <c r="J1131" s="1025" t="s">
        <v>2375</v>
      </c>
      <c r="K1131" s="488"/>
      <c r="L1131" s="466">
        <v>3</v>
      </c>
      <c r="M1131" s="469">
        <f t="shared" si="16"/>
        <v>44197</v>
      </c>
      <c r="N1131" s="469">
        <f t="shared" si="17"/>
        <v>44287</v>
      </c>
      <c r="O1131" s="489">
        <v>44378</v>
      </c>
      <c r="P1131" s="490" t="s">
        <v>125</v>
      </c>
      <c r="Q1131" s="490" t="s">
        <v>125</v>
      </c>
      <c r="R1131" s="483">
        <v>407878</v>
      </c>
      <c r="S1131" s="470" t="s">
        <v>129</v>
      </c>
      <c r="T1131" s="470" t="s">
        <v>36</v>
      </c>
      <c r="U1131" s="470" t="s">
        <v>125</v>
      </c>
      <c r="V1131" s="470"/>
      <c r="W1131" s="465" t="s">
        <v>2190</v>
      </c>
    </row>
    <row r="1132" spans="1:31" ht="52.8">
      <c r="A1132" s="852"/>
      <c r="B1132" s="520" t="s">
        <v>48</v>
      </c>
      <c r="C1132" s="465" t="s">
        <v>2378</v>
      </c>
      <c r="D1132" s="466" t="s">
        <v>82</v>
      </c>
      <c r="E1132" s="466"/>
      <c r="F1132" s="466"/>
      <c r="G1132" s="466"/>
      <c r="H1132" s="466" t="s">
        <v>49</v>
      </c>
      <c r="I1132" s="474" t="s">
        <v>34</v>
      </c>
      <c r="J1132" s="1024" t="s">
        <v>2379</v>
      </c>
      <c r="K1132" s="467"/>
      <c r="L1132" s="466">
        <v>12</v>
      </c>
      <c r="M1132" s="469">
        <f t="shared" si="16"/>
        <v>43922</v>
      </c>
      <c r="N1132" s="469">
        <f t="shared" si="17"/>
        <v>44013</v>
      </c>
      <c r="O1132" s="470">
        <v>44378</v>
      </c>
      <c r="P1132" s="471">
        <v>5</v>
      </c>
      <c r="Q1132" s="471">
        <v>5</v>
      </c>
      <c r="R1132" s="483">
        <v>485000</v>
      </c>
      <c r="S1132" s="470" t="s">
        <v>173</v>
      </c>
      <c r="T1132" s="470" t="s">
        <v>36</v>
      </c>
      <c r="U1132" s="470" t="s">
        <v>125</v>
      </c>
      <c r="V1132" s="470"/>
      <c r="W1132" s="513" t="s">
        <v>2373</v>
      </c>
    </row>
    <row r="1133" spans="1:31" ht="52.8">
      <c r="A1133" s="852"/>
      <c r="B1133" s="520" t="s">
        <v>48</v>
      </c>
      <c r="C1133" s="465" t="s">
        <v>2390</v>
      </c>
      <c r="D1133" s="466" t="s">
        <v>60</v>
      </c>
      <c r="E1133" s="466"/>
      <c r="F1133" s="466"/>
      <c r="G1133" s="466"/>
      <c r="H1133" s="466" t="s">
        <v>127</v>
      </c>
      <c r="I1133" s="474" t="s">
        <v>34</v>
      </c>
      <c r="J1133" s="549" t="s">
        <v>2391</v>
      </c>
      <c r="K1133" s="484"/>
      <c r="L1133" s="484"/>
      <c r="M1133" s="484"/>
      <c r="N1133" s="484"/>
      <c r="O1133" s="469">
        <v>44378</v>
      </c>
      <c r="P1133" s="466">
        <v>3</v>
      </c>
      <c r="Q1133" s="469"/>
      <c r="R1133" s="493">
        <v>150000</v>
      </c>
      <c r="S1133" s="491" t="s">
        <v>2096</v>
      </c>
      <c r="T1133" s="491" t="s">
        <v>54</v>
      </c>
      <c r="U1133" s="484" t="s">
        <v>43</v>
      </c>
      <c r="V1133" s="484"/>
      <c r="W1133" s="474" t="s">
        <v>130</v>
      </c>
    </row>
    <row r="1134" spans="1:31" ht="66">
      <c r="A1134" s="852"/>
      <c r="B1134" s="520" t="s">
        <v>48</v>
      </c>
      <c r="C1134" s="465" t="s">
        <v>2469</v>
      </c>
      <c r="D1134" s="466" t="s">
        <v>214</v>
      </c>
      <c r="E1134" s="466"/>
      <c r="F1134" s="466"/>
      <c r="G1134" s="466"/>
      <c r="H1134" s="466" t="s">
        <v>127</v>
      </c>
      <c r="I1134" s="465" t="s">
        <v>34</v>
      </c>
      <c r="J1134" s="1025" t="s">
        <v>2470</v>
      </c>
      <c r="K1134" s="744"/>
      <c r="L1134" s="466">
        <v>3</v>
      </c>
      <c r="M1134" s="469">
        <f>IF(O1134="tbc","",(IFERROR(EDATE($N1134,-3),"Invalid procurement method or date entered")))</f>
        <v>44197</v>
      </c>
      <c r="N1134" s="469">
        <f>IF(O1134="tbc","",(IFERROR(EDATE(O1134,-L1134),"Invalid procurement method or date entered")))</f>
        <v>44287</v>
      </c>
      <c r="O1134" s="489">
        <v>44378</v>
      </c>
      <c r="P1134" s="490">
        <v>2</v>
      </c>
      <c r="Q1134" s="490">
        <v>2</v>
      </c>
      <c r="R1134" s="483">
        <v>358000</v>
      </c>
      <c r="S1134" s="470" t="s">
        <v>129</v>
      </c>
      <c r="T1134" s="470" t="s">
        <v>144</v>
      </c>
      <c r="U1134" s="470" t="s">
        <v>125</v>
      </c>
      <c r="V1134" s="470"/>
      <c r="W1134" s="354" t="s">
        <v>41</v>
      </c>
    </row>
    <row r="1135" spans="1:31" ht="15.6">
      <c r="A1135" s="1061">
        <v>44974</v>
      </c>
      <c r="B1135" s="1066" t="s">
        <v>210</v>
      </c>
      <c r="C1135" s="1072" t="s">
        <v>4092</v>
      </c>
      <c r="D1135" s="1072" t="s">
        <v>2856</v>
      </c>
      <c r="E1135" s="1066" t="s">
        <v>210</v>
      </c>
      <c r="F1135" s="1066" t="s">
        <v>190</v>
      </c>
      <c r="G1135" s="1066" t="s">
        <v>190</v>
      </c>
      <c r="H1135" s="1066" t="s">
        <v>190</v>
      </c>
      <c r="I1135" s="1066" t="s">
        <v>190</v>
      </c>
      <c r="J1135" s="1095" t="s">
        <v>1202</v>
      </c>
      <c r="K1135" s="1072" t="s">
        <v>1203</v>
      </c>
      <c r="L1135" s="1066" t="s">
        <v>190</v>
      </c>
      <c r="M1135" s="1066" t="s">
        <v>190</v>
      </c>
      <c r="N1135" s="1066" t="s">
        <v>190</v>
      </c>
      <c r="O1135" s="1142">
        <v>44378</v>
      </c>
      <c r="P1135" s="1142">
        <v>44743</v>
      </c>
      <c r="Q1135" s="1072" t="s">
        <v>100</v>
      </c>
      <c r="R1135" s="1176">
        <v>4999</v>
      </c>
      <c r="S1135" s="1072" t="s">
        <v>2878</v>
      </c>
      <c r="T1135" s="1066" t="s">
        <v>190</v>
      </c>
      <c r="U1135" s="1066" t="s">
        <v>190</v>
      </c>
      <c r="V1135" s="1066"/>
      <c r="W1135" s="1072" t="s">
        <v>359</v>
      </c>
      <c r="X1135" s="1116" t="s">
        <v>1346</v>
      </c>
      <c r="Y1135" s="1116" t="s">
        <v>1266</v>
      </c>
      <c r="Z1135" s="1068" t="s">
        <v>190</v>
      </c>
      <c r="AA1135" s="1068" t="s">
        <v>190</v>
      </c>
      <c r="AB1135" s="1068" t="s">
        <v>190</v>
      </c>
      <c r="AC1135" s="694" t="s">
        <v>4093</v>
      </c>
      <c r="AD1135" s="1068" t="s">
        <v>190</v>
      </c>
      <c r="AE1135" s="1193">
        <v>4999</v>
      </c>
    </row>
    <row r="1136" spans="1:31" ht="15.6">
      <c r="A1136" s="1061">
        <v>44974</v>
      </c>
      <c r="B1136" s="1066" t="s">
        <v>210</v>
      </c>
      <c r="C1136" s="1072" t="s">
        <v>4092</v>
      </c>
      <c r="D1136" s="1072" t="s">
        <v>355</v>
      </c>
      <c r="E1136" s="1066" t="s">
        <v>210</v>
      </c>
      <c r="F1136" s="1066" t="s">
        <v>190</v>
      </c>
      <c r="G1136" s="1066" t="s">
        <v>190</v>
      </c>
      <c r="H1136" s="1066" t="s">
        <v>190</v>
      </c>
      <c r="I1136" s="1066" t="s">
        <v>190</v>
      </c>
      <c r="J1136" s="1095" t="s">
        <v>1202</v>
      </c>
      <c r="K1136" s="1072" t="s">
        <v>4094</v>
      </c>
      <c r="L1136" s="1066" t="s">
        <v>190</v>
      </c>
      <c r="M1136" s="1066" t="s">
        <v>190</v>
      </c>
      <c r="N1136" s="1066" t="s">
        <v>190</v>
      </c>
      <c r="O1136" s="1142">
        <v>44378</v>
      </c>
      <c r="P1136" s="1142">
        <v>45108</v>
      </c>
      <c r="Q1136" s="1072" t="s">
        <v>2541</v>
      </c>
      <c r="R1136" s="1176">
        <v>9998</v>
      </c>
      <c r="S1136" s="1072" t="s">
        <v>2878</v>
      </c>
      <c r="T1136" s="1066" t="s">
        <v>190</v>
      </c>
      <c r="U1136" s="1066" t="s">
        <v>190</v>
      </c>
      <c r="V1136" s="1066"/>
      <c r="W1136" s="1072" t="s">
        <v>359</v>
      </c>
      <c r="X1136" s="1116" t="s">
        <v>1346</v>
      </c>
      <c r="Y1136" s="1116" t="s">
        <v>1266</v>
      </c>
      <c r="Z1136" s="1068" t="s">
        <v>190</v>
      </c>
      <c r="AA1136" s="1068" t="s">
        <v>190</v>
      </c>
      <c r="AB1136" s="1068" t="s">
        <v>190</v>
      </c>
      <c r="AC1136" s="694" t="s">
        <v>4095</v>
      </c>
      <c r="AD1136" s="1068" t="s">
        <v>190</v>
      </c>
      <c r="AE1136" s="1193">
        <v>9998</v>
      </c>
    </row>
    <row r="1137" spans="1:31" ht="72">
      <c r="A1137" s="888"/>
      <c r="B1137" s="1351"/>
      <c r="C1137" s="4" t="s">
        <v>4096</v>
      </c>
      <c r="D1137" s="5" t="s">
        <v>29</v>
      </c>
      <c r="E1137" s="5"/>
      <c r="F1137" s="5"/>
      <c r="G1137" s="5"/>
      <c r="H1137" s="5" t="s">
        <v>171</v>
      </c>
      <c r="I1137" s="5" t="s">
        <v>34</v>
      </c>
      <c r="J1137" s="16" t="s">
        <v>4097</v>
      </c>
      <c r="K1137" s="8"/>
      <c r="L1137" s="5" t="e">
        <f>IF(OR(S1137=#REF!,S1137=#REF!,S1137=#REF!,S1137=#REF!,S1137=#REF!,S1137=#REF!,S1137=#REF!,S1137=#REF!),12,IF(OR(S1137=#REF!,S1137=#REF!,S1137=#REF!,S1137=#REF!,S1137=#REF!,S1137=#REF!,S1137=#REF!),3,IF(S1137=#REF!,1,IF(S1137=#REF!,18,IF(OR(S1137=#REF!,S1137=#REF!,S1137=#REF!,S1137=#REF!,S1137=#REF!),14,"Invalid proposed procurement method")))))</f>
        <v>#REF!</v>
      </c>
      <c r="M1137" s="193" t="str">
        <f>IFERROR(EDATE($N1137,-3),"Invalid procurement method or date entered")</f>
        <v>Invalid procurement method or date entered</v>
      </c>
      <c r="N1137" s="193" t="str">
        <f>IFERROR(EDATE(O1137,-L1137),"Invalid procurement method or date entered")</f>
        <v>Invalid procurement method or date entered</v>
      </c>
      <c r="O1137" s="193">
        <v>44382</v>
      </c>
      <c r="P1137" s="5">
        <v>8</v>
      </c>
      <c r="Q1137" s="5">
        <v>8</v>
      </c>
      <c r="R1137" s="39">
        <v>150000</v>
      </c>
      <c r="S1137" s="5" t="s">
        <v>109</v>
      </c>
      <c r="T1137" s="49" t="s">
        <v>41</v>
      </c>
      <c r="U1137" s="203">
        <v>44362</v>
      </c>
      <c r="V1137" s="203"/>
      <c r="W1137" s="5" t="s">
        <v>1013</v>
      </c>
      <c r="X1137" s="74" t="s">
        <v>1053</v>
      </c>
      <c r="Y1137" s="74" t="s">
        <v>457</v>
      </c>
      <c r="Z1137" s="74" t="s">
        <v>40</v>
      </c>
      <c r="AA1137" s="70" t="s">
        <v>41</v>
      </c>
      <c r="AB1137" s="316" t="s">
        <v>1253</v>
      </c>
      <c r="AC1137" s="846" t="s">
        <v>1246</v>
      </c>
      <c r="AD1137" s="74" t="s">
        <v>96</v>
      </c>
      <c r="AE1137" s="875">
        <v>150000</v>
      </c>
    </row>
    <row r="1138" spans="1:31" ht="52.8">
      <c r="A1138" s="852"/>
      <c r="B1138" s="520" t="s">
        <v>48</v>
      </c>
      <c r="C1138" s="465" t="s">
        <v>2354</v>
      </c>
      <c r="D1138" s="466" t="s">
        <v>82</v>
      </c>
      <c r="E1138" s="466"/>
      <c r="F1138" s="466"/>
      <c r="G1138" s="466"/>
      <c r="H1138" s="466" t="s">
        <v>49</v>
      </c>
      <c r="I1138" s="474" t="s">
        <v>34</v>
      </c>
      <c r="J1138" s="1024" t="s">
        <v>2355</v>
      </c>
      <c r="K1138" s="467"/>
      <c r="L1138" s="466">
        <v>1</v>
      </c>
      <c r="M1138" s="469">
        <f>IF(O1138="tbc","",(IFERROR(EDATE($N1138,-3),"Invalid procurement method or date entered")))</f>
        <v>44260</v>
      </c>
      <c r="N1138" s="469">
        <f>IF(O1138="tbc","",(IFERROR(EDATE(O1138,-L1138),"Invalid procurement method or date entered")))</f>
        <v>44352</v>
      </c>
      <c r="O1138" s="470">
        <v>44382</v>
      </c>
      <c r="P1138" s="471">
        <v>2</v>
      </c>
      <c r="Q1138" s="471">
        <v>2</v>
      </c>
      <c r="R1138" s="483">
        <v>137000</v>
      </c>
      <c r="S1138" s="470" t="s">
        <v>173</v>
      </c>
      <c r="T1138" s="470" t="s">
        <v>36</v>
      </c>
      <c r="U1138" s="470" t="s">
        <v>125</v>
      </c>
      <c r="V1138" s="470"/>
      <c r="W1138" s="513" t="s">
        <v>1304</v>
      </c>
    </row>
    <row r="1139" spans="1:31" ht="66">
      <c r="A1139" s="852"/>
      <c r="B1139" s="520" t="s">
        <v>48</v>
      </c>
      <c r="C1139" s="465" t="s">
        <v>2405</v>
      </c>
      <c r="D1139" s="466" t="s">
        <v>60</v>
      </c>
      <c r="E1139" s="466"/>
      <c r="F1139" s="466"/>
      <c r="G1139" s="466"/>
      <c r="H1139" s="466" t="s">
        <v>127</v>
      </c>
      <c r="I1139" s="474" t="s">
        <v>34</v>
      </c>
      <c r="J1139" s="1024" t="s">
        <v>2406</v>
      </c>
      <c r="K1139" s="467"/>
      <c r="L1139" s="466">
        <v>14</v>
      </c>
      <c r="M1139" s="469">
        <f>IF(O1139="tbc","",(IFERROR(EDATE($N1139,-3),"Invalid procurement method or date entered")))</f>
        <v>43866</v>
      </c>
      <c r="N1139" s="469">
        <f>IF(O1139="tbc","",(IFERROR(EDATE(O1139,-L1139),"Invalid procurement method or date entered")))</f>
        <v>43956</v>
      </c>
      <c r="O1139" s="470">
        <v>44382</v>
      </c>
      <c r="P1139" s="471">
        <v>4</v>
      </c>
      <c r="Q1139" s="471">
        <v>4</v>
      </c>
      <c r="R1139" s="483">
        <v>530000</v>
      </c>
      <c r="S1139" s="470" t="s">
        <v>186</v>
      </c>
      <c r="T1139" s="465" t="s">
        <v>898</v>
      </c>
      <c r="U1139" s="599">
        <v>44298</v>
      </c>
      <c r="V1139" s="599"/>
      <c r="W1139" s="465" t="s">
        <v>125</v>
      </c>
    </row>
    <row r="1140" spans="1:31" ht="52.8">
      <c r="A1140" s="852"/>
      <c r="B1140" s="520" t="s">
        <v>48</v>
      </c>
      <c r="C1140" s="465" t="s">
        <v>125</v>
      </c>
      <c r="D1140" s="466" t="s">
        <v>60</v>
      </c>
      <c r="E1140" s="466"/>
      <c r="F1140" s="466"/>
      <c r="G1140" s="466"/>
      <c r="H1140" s="466" t="s">
        <v>127</v>
      </c>
      <c r="I1140" s="465" t="s">
        <v>34</v>
      </c>
      <c r="J1140" s="1025" t="s">
        <v>2451</v>
      </c>
      <c r="K1140" s="484"/>
      <c r="L1140" s="466">
        <v>3</v>
      </c>
      <c r="M1140" s="469">
        <f>IF(O1140="tbc","",(IFERROR(EDATE($N1140,-3),"Invalid procurement method or date entered")))</f>
        <v>44205</v>
      </c>
      <c r="N1140" s="469">
        <f>IF(O1140="tbc","",(IFERROR(EDATE(O1140,-L1140),"Invalid procurement method or date entered")))</f>
        <v>44295</v>
      </c>
      <c r="O1140" s="489">
        <v>44386</v>
      </c>
      <c r="P1140" s="490">
        <v>1</v>
      </c>
      <c r="Q1140" s="490">
        <v>1</v>
      </c>
      <c r="R1140" s="483">
        <v>100000</v>
      </c>
      <c r="S1140" s="470" t="s">
        <v>163</v>
      </c>
      <c r="T1140" s="470" t="s">
        <v>144</v>
      </c>
      <c r="U1140" s="470" t="s">
        <v>125</v>
      </c>
      <c r="V1140" s="470"/>
      <c r="W1140" s="577" t="s">
        <v>125</v>
      </c>
    </row>
    <row r="1141" spans="1:31" ht="92.4">
      <c r="A1141" s="852"/>
      <c r="B1141" s="520" t="s">
        <v>48</v>
      </c>
      <c r="C1141" s="465" t="s">
        <v>2511</v>
      </c>
      <c r="D1141" s="474" t="s">
        <v>214</v>
      </c>
      <c r="E1141" s="474"/>
      <c r="F1141" s="474"/>
      <c r="G1141" s="474"/>
      <c r="H1141" s="466" t="s">
        <v>127</v>
      </c>
      <c r="I1141" s="474" t="s">
        <v>34</v>
      </c>
      <c r="J1141" s="1024" t="s">
        <v>2512</v>
      </c>
      <c r="K1141" s="746"/>
      <c r="L1141" s="466">
        <v>3</v>
      </c>
      <c r="M1141" s="468" t="s">
        <v>125</v>
      </c>
      <c r="N1141" s="469">
        <f>IF(O1141="tbc","",(IFERROR(EDATE(O1141,-L1141),"Invalid procurement method or date entered")))</f>
        <v>44295</v>
      </c>
      <c r="O1141" s="470">
        <v>44386</v>
      </c>
      <c r="P1141" s="471" t="s">
        <v>125</v>
      </c>
      <c r="Q1141" s="471" t="s">
        <v>125</v>
      </c>
      <c r="R1141" s="483">
        <f>651967+117359+264100+35650</f>
        <v>1069076</v>
      </c>
      <c r="S1141" s="470" t="s">
        <v>129</v>
      </c>
      <c r="T1141" s="470" t="s">
        <v>144</v>
      </c>
      <c r="U1141" s="475" t="s">
        <v>59</v>
      </c>
      <c r="V1141" s="475"/>
      <c r="W1141" s="476" t="s">
        <v>41</v>
      </c>
    </row>
    <row r="1142" spans="1:31" ht="66">
      <c r="A1142" s="852"/>
      <c r="B1142" s="520" t="s">
        <v>48</v>
      </c>
      <c r="C1142" s="465" t="s">
        <v>125</v>
      </c>
      <c r="D1142" s="466" t="s">
        <v>60</v>
      </c>
      <c r="E1142" s="466"/>
      <c r="F1142" s="466"/>
      <c r="G1142" s="466"/>
      <c r="H1142" s="466" t="s">
        <v>127</v>
      </c>
      <c r="I1142" s="465" t="s">
        <v>34</v>
      </c>
      <c r="J1142" s="1025" t="s">
        <v>2243</v>
      </c>
      <c r="K1142" s="488"/>
      <c r="L1142" s="488"/>
      <c r="M1142" s="466">
        <v>3</v>
      </c>
      <c r="N1142" s="469" t="str">
        <f>IF(O1142="tbc","",(IFERROR(EDATE(#REF!,-3),"Invalid procurement method or date entered")))</f>
        <v>Invalid procurement method or date entered</v>
      </c>
      <c r="O1142" s="489">
        <v>44389</v>
      </c>
      <c r="P1142" s="490" t="s">
        <v>125</v>
      </c>
      <c r="Q1142" s="490" t="s">
        <v>125</v>
      </c>
      <c r="R1142" s="483">
        <v>30000</v>
      </c>
      <c r="S1142" s="470" t="s">
        <v>129</v>
      </c>
      <c r="T1142" s="470" t="s">
        <v>36</v>
      </c>
      <c r="U1142" s="470" t="s">
        <v>125</v>
      </c>
      <c r="V1142" s="470"/>
      <c r="W1142" s="465" t="s">
        <v>1543</v>
      </c>
    </row>
    <row r="1143" spans="1:31" ht="52.8">
      <c r="A1143" s="852"/>
      <c r="B1143" s="520" t="s">
        <v>48</v>
      </c>
      <c r="C1143" s="466" t="s">
        <v>2344</v>
      </c>
      <c r="D1143" s="466" t="s">
        <v>82</v>
      </c>
      <c r="E1143" s="466"/>
      <c r="F1143" s="466"/>
      <c r="G1143" s="466"/>
      <c r="H1143" s="466" t="s">
        <v>49</v>
      </c>
      <c r="I1143" s="474" t="s">
        <v>34</v>
      </c>
      <c r="J1143" s="549" t="s">
        <v>2345</v>
      </c>
      <c r="K1143" s="484"/>
      <c r="L1143" s="466">
        <v>1</v>
      </c>
      <c r="M1143" s="469">
        <f>IF(O1143="tbc","",(IFERROR(EDATE($N1143,-3),"Invalid procurement method or date entered")))</f>
        <v>44267</v>
      </c>
      <c r="N1143" s="469">
        <f>IF(O1143="tbc","",(IFERROR(EDATE(O1143,-L1143),"Invalid procurement method or date entered")))</f>
        <v>44359</v>
      </c>
      <c r="O1143" s="470">
        <v>44389</v>
      </c>
      <c r="P1143" s="471">
        <v>1</v>
      </c>
      <c r="Q1143" s="471">
        <v>1</v>
      </c>
      <c r="R1143" s="483" t="s">
        <v>125</v>
      </c>
      <c r="S1143" s="470" t="s">
        <v>173</v>
      </c>
      <c r="T1143" s="470" t="s">
        <v>36</v>
      </c>
      <c r="U1143" s="466" t="s">
        <v>125</v>
      </c>
      <c r="V1143" s="466"/>
      <c r="W1143" s="475"/>
    </row>
    <row r="1144" spans="1:31" ht="15.6">
      <c r="A1144" s="1061">
        <v>44974</v>
      </c>
      <c r="B1144" s="1066" t="s">
        <v>210</v>
      </c>
      <c r="C1144" s="1072" t="s">
        <v>4098</v>
      </c>
      <c r="D1144" s="1072" t="s">
        <v>1034</v>
      </c>
      <c r="E1144" s="1066" t="s">
        <v>210</v>
      </c>
      <c r="F1144" s="1066" t="s">
        <v>190</v>
      </c>
      <c r="G1144" s="1066" t="s">
        <v>190</v>
      </c>
      <c r="H1144" s="1066" t="s">
        <v>190</v>
      </c>
      <c r="I1144" s="1066" t="s">
        <v>190</v>
      </c>
      <c r="J1144" s="1095" t="s">
        <v>4099</v>
      </c>
      <c r="K1144" s="1072" t="s">
        <v>4100</v>
      </c>
      <c r="L1144" s="1066" t="s">
        <v>190</v>
      </c>
      <c r="M1144" s="1066" t="s">
        <v>190</v>
      </c>
      <c r="N1144" s="1066" t="s">
        <v>190</v>
      </c>
      <c r="O1144" s="1142">
        <v>44389</v>
      </c>
      <c r="P1144" s="1142">
        <v>44469</v>
      </c>
      <c r="Q1144" s="1072" t="s">
        <v>100</v>
      </c>
      <c r="R1144" s="1176">
        <v>9500</v>
      </c>
      <c r="S1144" s="1072" t="s">
        <v>4101</v>
      </c>
      <c r="T1144" s="1066" t="s">
        <v>190</v>
      </c>
      <c r="U1144" s="1066" t="s">
        <v>190</v>
      </c>
      <c r="V1144" s="1066"/>
      <c r="W1144" s="1072" t="s">
        <v>2548</v>
      </c>
      <c r="X1144" s="1116" t="s">
        <v>1346</v>
      </c>
      <c r="Y1144" s="1116" t="s">
        <v>1266</v>
      </c>
      <c r="Z1144" s="1068" t="s">
        <v>190</v>
      </c>
      <c r="AA1144" s="1068" t="s">
        <v>190</v>
      </c>
      <c r="AB1144" s="1068" t="s">
        <v>190</v>
      </c>
      <c r="AC1144" s="694" t="s">
        <v>4102</v>
      </c>
      <c r="AD1144" s="1068" t="s">
        <v>190</v>
      </c>
      <c r="AE1144" s="1193">
        <v>9500</v>
      </c>
    </row>
    <row r="1145" spans="1:31" ht="72">
      <c r="A1145" s="852"/>
      <c r="B1145" s="4"/>
      <c r="C1145" s="4" t="s">
        <v>4103</v>
      </c>
      <c r="D1145" s="5" t="s">
        <v>29</v>
      </c>
      <c r="E1145" s="5"/>
      <c r="F1145" s="5"/>
      <c r="G1145" s="5"/>
      <c r="H1145" s="5" t="s">
        <v>70</v>
      </c>
      <c r="I1145" s="5" t="s">
        <v>34</v>
      </c>
      <c r="J1145" s="16" t="s">
        <v>4104</v>
      </c>
      <c r="K1145" s="8"/>
      <c r="L1145" s="5" t="e">
        <f>IF(OR(S1145=#REF!,S1145=#REF!,S1145=#REF!,S1145=#REF!,S1145=#REF!,S1145=#REF!,S1145=#REF!,S1145=#REF!),12,IF(OR(S1145=#REF!,S1145=#REF!,S1145=#REF!,S1145=#REF!,S1145=#REF!,S1145=#REF!,S1145=#REF!),3,IF(S1145=#REF!,1,IF(S1145=#REF!,18,IF(OR(S1145=#REF!,S1145=#REF!,S1145=#REF!,S1145=#REF!,S1145=#REF!),14,"Invalid proposed procurement method")))))</f>
        <v>#REF!</v>
      </c>
      <c r="M1145" s="193" t="str">
        <f t="shared" ref="M1145:M1151" si="18">IFERROR(EDATE($N1145,-3),"Invalid procurement method or date entered")</f>
        <v>Invalid procurement method or date entered</v>
      </c>
      <c r="N1145" s="193" t="str">
        <f t="shared" ref="N1145:N1151" si="19">IFERROR(EDATE(O1145,-L1145),"Invalid procurement method or date entered")</f>
        <v>Invalid procurement method or date entered</v>
      </c>
      <c r="O1145" s="14">
        <v>44390</v>
      </c>
      <c r="P1145" s="5">
        <v>48</v>
      </c>
      <c r="Q1145" s="5" t="s">
        <v>191</v>
      </c>
      <c r="R1145" s="79">
        <v>5000000</v>
      </c>
      <c r="S1145" s="14" t="s">
        <v>98</v>
      </c>
      <c r="T1145" s="50" t="s">
        <v>54</v>
      </c>
      <c r="U1145" s="50" t="s">
        <v>540</v>
      </c>
      <c r="V1145" s="50"/>
      <c r="W1145" s="5" t="s">
        <v>4105</v>
      </c>
      <c r="X1145" s="74" t="s">
        <v>1053</v>
      </c>
      <c r="Y1145" s="74" t="s">
        <v>457</v>
      </c>
      <c r="Z1145" s="74" t="s">
        <v>80</v>
      </c>
      <c r="AA1145" s="74" t="s">
        <v>41</v>
      </c>
      <c r="AB1145" s="1369" t="s">
        <v>1253</v>
      </c>
      <c r="AC1145" s="95" t="s">
        <v>3467</v>
      </c>
      <c r="AD1145" s="74" t="s">
        <v>118</v>
      </c>
      <c r="AE1145" s="306">
        <v>1250000</v>
      </c>
    </row>
    <row r="1146" spans="1:31" ht="331.2">
      <c r="A1146" s="895"/>
      <c r="B1146" s="4"/>
      <c r="C1146" s="4" t="s">
        <v>35</v>
      </c>
      <c r="D1146" s="5" t="s">
        <v>29</v>
      </c>
      <c r="E1146" s="5"/>
      <c r="F1146" s="5"/>
      <c r="G1146" s="5"/>
      <c r="H1146" s="5" t="s">
        <v>81</v>
      </c>
      <c r="I1146" s="5" t="s">
        <v>64</v>
      </c>
      <c r="J1146" s="16" t="s">
        <v>4106</v>
      </c>
      <c r="K1146" s="8"/>
      <c r="L1146" s="5" t="e">
        <f>IF(OR(S1146=#REF!,S1146=#REF!,S1146=#REF!,S1146=#REF!,S1146=#REF!,S1146=#REF!,S1146=#REF!,S1146=#REF!),12,IF(OR(S1146=#REF!,S1146=#REF!,S1146=#REF!,S1146=#REF!,S1146=#REF!,S1146=#REF!,S1146=#REF!),3,IF(S1146=#REF!,1,IF(S1146=#REF!,18,IF(OR(S1146=#REF!,S1146=#REF!,S1146=#REF!,S1146=#REF!,S1146=#REF!),14,"Invalid proposed procurement method")))))</f>
        <v>#REF!</v>
      </c>
      <c r="M1146" s="193" t="str">
        <f t="shared" si="18"/>
        <v>Invalid procurement method or date entered</v>
      </c>
      <c r="N1146" s="193" t="str">
        <f t="shared" si="19"/>
        <v>Invalid procurement method or date entered</v>
      </c>
      <c r="O1146" s="193">
        <v>44393</v>
      </c>
      <c r="P1146" s="12" t="s">
        <v>35</v>
      </c>
      <c r="Q1146" s="12"/>
      <c r="R1146" s="106">
        <v>280000</v>
      </c>
      <c r="S1146" s="5" t="s">
        <v>109</v>
      </c>
      <c r="T1146" s="14" t="s">
        <v>54</v>
      </c>
      <c r="U1146" s="14" t="s">
        <v>37</v>
      </c>
      <c r="V1146" s="14"/>
      <c r="W1146" s="5" t="s">
        <v>808</v>
      </c>
      <c r="X1146" s="74" t="s">
        <v>1088</v>
      </c>
      <c r="Y1146" s="74" t="s">
        <v>457</v>
      </c>
      <c r="Z1146" s="74" t="s">
        <v>80</v>
      </c>
      <c r="AA1146" s="74" t="s">
        <v>41</v>
      </c>
      <c r="AB1146" s="316">
        <v>44340</v>
      </c>
      <c r="AC1146" s="95" t="s">
        <v>4107</v>
      </c>
      <c r="AD1146" s="70" t="s">
        <v>81</v>
      </c>
      <c r="AE1146" s="204">
        <v>80000</v>
      </c>
    </row>
    <row r="1147" spans="1:31" ht="129.6">
      <c r="A1147" s="852"/>
      <c r="B1147" s="305"/>
      <c r="C1147" s="1362" t="s">
        <v>1274</v>
      </c>
      <c r="D1147" s="9" t="s">
        <v>29</v>
      </c>
      <c r="E1147" s="9"/>
      <c r="F1147" s="9"/>
      <c r="G1147" s="9"/>
      <c r="H1147" s="5" t="s">
        <v>70</v>
      </c>
      <c r="I1147" s="5" t="s">
        <v>64</v>
      </c>
      <c r="J1147" s="16" t="s">
        <v>1199</v>
      </c>
      <c r="K1147" s="8"/>
      <c r="L1147" s="5" t="e">
        <f>IF(OR(S1147=#REF!,S1147=#REF!,S1147=#REF!,S1147=#REF!,S1147=#REF!,S1147=#REF!,S1147=#REF!,S1147=#REF!),12,IF(OR(S1147=#REF!,S1147=#REF!,S1147=#REF!,S1147=#REF!,S1147=#REF!,S1147=#REF!,S1147=#REF!),3,IF(S1147=#REF!,1,IF(S1147=#REF!,18,IF(OR(S1147=#REF!,S1147=#REF!,S1147=#REF!,S1147=#REF!,S1147=#REF!),14,"Invalid proposed procurement method")))))</f>
        <v>#REF!</v>
      </c>
      <c r="M1147" s="193" t="str">
        <f t="shared" si="18"/>
        <v>Invalid procurement method or date entered</v>
      </c>
      <c r="N1147" s="193" t="str">
        <f t="shared" si="19"/>
        <v>Invalid procurement method or date entered</v>
      </c>
      <c r="O1147" s="193">
        <v>44393</v>
      </c>
      <c r="P1147" s="12">
        <v>48</v>
      </c>
      <c r="Q1147" s="5" t="s">
        <v>4108</v>
      </c>
      <c r="R1147" s="18">
        <v>15696</v>
      </c>
      <c r="S1147" s="5" t="s">
        <v>66</v>
      </c>
      <c r="T1147" s="11" t="s">
        <v>54</v>
      </c>
      <c r="U1147" s="15" t="s">
        <v>37</v>
      </c>
      <c r="V1147" s="15"/>
      <c r="W1147" s="5" t="s">
        <v>1140</v>
      </c>
      <c r="X1147" s="74" t="s">
        <v>1088</v>
      </c>
      <c r="Y1147" s="74" t="s">
        <v>59</v>
      </c>
      <c r="Z1147" s="74" t="s">
        <v>80</v>
      </c>
      <c r="AA1147" s="74" t="s">
        <v>41</v>
      </c>
      <c r="AB1147" s="316">
        <v>44354</v>
      </c>
      <c r="AC1147" s="847" t="s">
        <v>4109</v>
      </c>
      <c r="AD1147" s="74" t="s">
        <v>74</v>
      </c>
      <c r="AE1147" s="863">
        <v>3924</v>
      </c>
    </row>
    <row r="1148" spans="1:31" ht="43.2">
      <c r="A1148" s="1363"/>
      <c r="B1148" s="4"/>
      <c r="C1148" s="4" t="s">
        <v>35</v>
      </c>
      <c r="D1148" s="9" t="s">
        <v>29</v>
      </c>
      <c r="E1148" s="9"/>
      <c r="F1148" s="9"/>
      <c r="G1148" s="9"/>
      <c r="H1148" s="5" t="s">
        <v>70</v>
      </c>
      <c r="I1148" s="5" t="s">
        <v>34</v>
      </c>
      <c r="J1148" s="1035" t="s">
        <v>1295</v>
      </c>
      <c r="K1148" s="61"/>
      <c r="L1148" s="5">
        <v>6</v>
      </c>
      <c r="M1148" s="193">
        <f t="shared" si="18"/>
        <v>44120</v>
      </c>
      <c r="N1148" s="193">
        <f t="shared" si="19"/>
        <v>44212</v>
      </c>
      <c r="O1148" s="176">
        <v>44393</v>
      </c>
      <c r="P1148" s="12">
        <v>12</v>
      </c>
      <c r="Q1148" s="12">
        <v>12</v>
      </c>
      <c r="R1148" s="18">
        <v>15810</v>
      </c>
      <c r="S1148" s="5" t="s">
        <v>909</v>
      </c>
      <c r="T1148" s="49" t="s">
        <v>54</v>
      </c>
      <c r="U1148" s="45" t="s">
        <v>37</v>
      </c>
      <c r="V1148" s="45"/>
      <c r="W1148" s="12" t="s">
        <v>301</v>
      </c>
      <c r="X1148" s="819" t="s">
        <v>73</v>
      </c>
      <c r="Y1148" s="74" t="s">
        <v>39</v>
      </c>
      <c r="Z1148" s="74" t="s">
        <v>95</v>
      </c>
      <c r="AA1148" s="74" t="s">
        <v>54</v>
      </c>
      <c r="AB1148" s="316" t="s">
        <v>1269</v>
      </c>
      <c r="AC1148" s="847"/>
      <c r="AD1148" s="74" t="s">
        <v>141</v>
      </c>
      <c r="AE1148" s="1475">
        <v>15810</v>
      </c>
    </row>
    <row r="1149" spans="1:31" ht="72">
      <c r="A1149" s="852"/>
      <c r="B1149" s="1351"/>
      <c r="C1149" s="4" t="s">
        <v>470</v>
      </c>
      <c r="D1149" s="5" t="s">
        <v>29</v>
      </c>
      <c r="E1149" s="5"/>
      <c r="F1149" s="5"/>
      <c r="G1149" s="5"/>
      <c r="H1149" s="5" t="s">
        <v>70</v>
      </c>
      <c r="I1149" s="5" t="s">
        <v>34</v>
      </c>
      <c r="J1149" s="16" t="s">
        <v>471</v>
      </c>
      <c r="K1149" s="16"/>
      <c r="L1149" s="5" t="e">
        <f>IF(OR(S1149=#REF!,S1149=#REF!,S1149=#REF!,S1149=#REF!,S1149=#REF!,S1149=#REF!,S1149=#REF!,S1149=#REF!),12,IF(OR(S1149=#REF!,S1149=#REF!,S1149=#REF!,S1149=#REF!,S1149=#REF!,S1149=#REF!,S1149=#REF!),3,IF(S1149=#REF!,1,IF(S1149=#REF!,18,IF(OR(S1149=#REF!,S1149=#REF!,S1149=#REF!,S1149=#REF!,S1149=#REF!),14,"Invalid proposed procurement method")))))</f>
        <v>#REF!</v>
      </c>
      <c r="M1149" s="193" t="str">
        <f t="shared" si="18"/>
        <v>Invalid procurement method or date entered</v>
      </c>
      <c r="N1149" s="193" t="str">
        <f t="shared" si="19"/>
        <v>Invalid procurement method or date entered</v>
      </c>
      <c r="O1149" s="176">
        <v>44396</v>
      </c>
      <c r="P1149" s="12">
        <v>60</v>
      </c>
      <c r="Q1149" s="7" t="s">
        <v>358</v>
      </c>
      <c r="R1149" s="18">
        <v>221600</v>
      </c>
      <c r="S1149" s="18" t="s">
        <v>98</v>
      </c>
      <c r="T1149" s="5" t="s">
        <v>36</v>
      </c>
      <c r="U1149" s="12" t="s">
        <v>37</v>
      </c>
      <c r="V1149" s="12"/>
      <c r="W1149" s="5" t="s">
        <v>472</v>
      </c>
      <c r="X1149" s="74" t="s">
        <v>1053</v>
      </c>
      <c r="Y1149" s="74" t="s">
        <v>457</v>
      </c>
      <c r="Z1149" s="74" t="s">
        <v>80</v>
      </c>
      <c r="AA1149" s="74" t="s">
        <v>41</v>
      </c>
      <c r="AB1149" s="316" t="s">
        <v>1253</v>
      </c>
      <c r="AC1149" s="95" t="s">
        <v>1246</v>
      </c>
      <c r="AD1149" s="74" t="s">
        <v>245</v>
      </c>
      <c r="AE1149" s="1476">
        <v>62000</v>
      </c>
    </row>
    <row r="1150" spans="1:31" ht="72">
      <c r="A1150" s="889"/>
      <c r="B1150" s="1351"/>
      <c r="C1150" s="4" t="s">
        <v>632</v>
      </c>
      <c r="D1150" s="5" t="s">
        <v>29</v>
      </c>
      <c r="E1150" s="5"/>
      <c r="F1150" s="5"/>
      <c r="G1150" s="5"/>
      <c r="H1150" s="5" t="s">
        <v>3038</v>
      </c>
      <c r="I1150" s="5" t="s">
        <v>34</v>
      </c>
      <c r="J1150" s="16" t="s">
        <v>121</v>
      </c>
      <c r="K1150" s="8"/>
      <c r="L1150" s="5" t="e">
        <f>IF(OR(S1150=#REF!,S1150=#REF!,S1150=#REF!,S1150=#REF!,S1150=#REF!,S1150=#REF!,S1150=#REF!,S1150=#REF!),12,IF(OR(S1150=#REF!,S1150=#REF!,S1150=#REF!,S1150=#REF!,S1150=#REF!,S1150=#REF!,S1150=#REF!),3,IF(S1150=#REF!,1,IF(S1150=#REF!,18,IF(OR(S1150=#REF!,S1150=#REF!,S1150=#REF!,S1150=#REF!,S1150=#REF!),14,"Invalid proposed procurement method")))))</f>
        <v>#REF!</v>
      </c>
      <c r="M1150" s="193" t="str">
        <f t="shared" si="18"/>
        <v>Invalid procurement method or date entered</v>
      </c>
      <c r="N1150" s="193" t="str">
        <f t="shared" si="19"/>
        <v>Invalid procurement method or date entered</v>
      </c>
      <c r="O1150" s="14">
        <v>44396</v>
      </c>
      <c r="P1150" s="12">
        <v>48</v>
      </c>
      <c r="Q1150" s="5" t="s">
        <v>298</v>
      </c>
      <c r="R1150" s="18">
        <v>280000</v>
      </c>
      <c r="S1150" s="5" t="s">
        <v>109</v>
      </c>
      <c r="T1150" s="5" t="s">
        <v>36</v>
      </c>
      <c r="U1150" s="12" t="s">
        <v>37</v>
      </c>
      <c r="V1150" s="12"/>
      <c r="W1150" s="5" t="s">
        <v>122</v>
      </c>
      <c r="X1150" s="74" t="s">
        <v>1053</v>
      </c>
      <c r="Y1150" s="74" t="s">
        <v>457</v>
      </c>
      <c r="Z1150" s="74" t="s">
        <v>40</v>
      </c>
      <c r="AA1150" s="74" t="s">
        <v>41</v>
      </c>
      <c r="AB1150" s="891" t="s">
        <v>1253</v>
      </c>
      <c r="AC1150" s="95" t="s">
        <v>1246</v>
      </c>
      <c r="AD1150" s="74" t="s">
        <v>42</v>
      </c>
      <c r="AE1150" s="306">
        <v>70000</v>
      </c>
    </row>
    <row r="1151" spans="1:31" ht="72">
      <c r="A1151" s="888"/>
      <c r="B1151" s="1347"/>
      <c r="C1151" s="4" t="s">
        <v>1327</v>
      </c>
      <c r="D1151" s="9" t="s">
        <v>29</v>
      </c>
      <c r="E1151" s="9"/>
      <c r="F1151" s="9"/>
      <c r="G1151" s="9"/>
      <c r="H1151" s="5" t="s">
        <v>45</v>
      </c>
      <c r="I1151" s="5" t="s">
        <v>34</v>
      </c>
      <c r="J1151" s="16" t="s">
        <v>1231</v>
      </c>
      <c r="K1151" s="8"/>
      <c r="L1151" s="5" t="e">
        <f>IF(OR(S1151=#REF!,S1151=#REF!,S1151=#REF!,S1151=#REF!,S1151=#REF!,S1151=#REF!,S1151=#REF!,S1151=#REF!),12,IF(OR(S1151=#REF!,S1151=#REF!,S1151=#REF!,S1151=#REF!,S1151=#REF!,S1151=#REF!,S1151=#REF!),3,IF(S1151=#REF!,1,IF(S1151=#REF!,18,IF(OR(S1151=#REF!,S1151=#REF!,S1151=#REF!,S1151=#REF!,S1151=#REF!),14,"Invalid proposed procurement method")))))</f>
        <v>#REF!</v>
      </c>
      <c r="M1151" s="193" t="str">
        <f t="shared" si="18"/>
        <v>Invalid procurement method or date entered</v>
      </c>
      <c r="N1151" s="193" t="str">
        <f t="shared" si="19"/>
        <v>Invalid procurement method or date entered</v>
      </c>
      <c r="O1151" s="14">
        <v>44396</v>
      </c>
      <c r="P1151" s="5">
        <v>36</v>
      </c>
      <c r="Q1151" s="5" t="s">
        <v>236</v>
      </c>
      <c r="R1151" s="56">
        <v>30000</v>
      </c>
      <c r="S1151" s="5" t="s">
        <v>163</v>
      </c>
      <c r="T1151" s="5" t="s">
        <v>54</v>
      </c>
      <c r="U1151" s="12" t="s">
        <v>37</v>
      </c>
      <c r="V1151" s="12"/>
      <c r="W1151" s="5" t="s">
        <v>1232</v>
      </c>
      <c r="X1151" s="819" t="s">
        <v>90</v>
      </c>
      <c r="Y1151" s="74" t="s">
        <v>59</v>
      </c>
      <c r="Z1151" s="74" t="s">
        <v>95</v>
      </c>
      <c r="AA1151" s="74" t="s">
        <v>41</v>
      </c>
      <c r="AB1151" s="316" t="s">
        <v>1253</v>
      </c>
      <c r="AC1151" s="95" t="s">
        <v>4063</v>
      </c>
      <c r="AD1151" s="70" t="s">
        <v>45</v>
      </c>
      <c r="AE1151" s="191">
        <v>10000</v>
      </c>
    </row>
    <row r="1152" spans="1:31" ht="39.6">
      <c r="A1152" s="852"/>
      <c r="B1152" s="520" t="s">
        <v>48</v>
      </c>
      <c r="C1152" s="580" t="s">
        <v>2325</v>
      </c>
      <c r="D1152" s="466" t="s">
        <v>29</v>
      </c>
      <c r="E1152" s="466"/>
      <c r="F1152" s="466"/>
      <c r="G1152" s="466"/>
      <c r="H1152" s="466" t="s">
        <v>49</v>
      </c>
      <c r="I1152" s="474" t="s">
        <v>34</v>
      </c>
      <c r="J1152" s="551" t="s">
        <v>2326</v>
      </c>
      <c r="K1152" s="580"/>
      <c r="L1152" s="580"/>
      <c r="M1152" s="580"/>
      <c r="N1152" s="580"/>
      <c r="O1152" s="582">
        <v>44396</v>
      </c>
      <c r="P1152" s="580">
        <v>1</v>
      </c>
      <c r="Q1152" s="580">
        <v>1</v>
      </c>
      <c r="R1152" s="580">
        <v>340000</v>
      </c>
      <c r="S1152" s="580" t="s">
        <v>1163</v>
      </c>
      <c r="T1152" s="580" t="s">
        <v>465</v>
      </c>
      <c r="U1152" s="580" t="s">
        <v>43</v>
      </c>
      <c r="V1152" s="580"/>
      <c r="W1152" s="580"/>
    </row>
    <row r="1153" spans="1:31" ht="43.2">
      <c r="A1153" s="1363"/>
      <c r="B1153" s="4"/>
      <c r="C1153" s="4" t="s">
        <v>35</v>
      </c>
      <c r="D1153" s="9" t="s">
        <v>29</v>
      </c>
      <c r="E1153" s="9"/>
      <c r="F1153" s="9"/>
      <c r="G1153" s="9"/>
      <c r="H1153" s="5" t="s">
        <v>70</v>
      </c>
      <c r="I1153" s="5" t="s">
        <v>34</v>
      </c>
      <c r="J1153" s="1035" t="s">
        <v>1224</v>
      </c>
      <c r="K1153" s="61"/>
      <c r="L1153" s="5">
        <v>6</v>
      </c>
      <c r="M1153" s="193">
        <f>IFERROR(EDATE($N1153,-3),"Invalid procurement method or date entered")</f>
        <v>44124</v>
      </c>
      <c r="N1153" s="193">
        <f>IFERROR(EDATE(O1153,-L1153),"Invalid procurement method or date entered")</f>
        <v>44216</v>
      </c>
      <c r="O1153" s="176">
        <v>44397</v>
      </c>
      <c r="P1153" s="12">
        <v>12</v>
      </c>
      <c r="Q1153" s="12">
        <v>12</v>
      </c>
      <c r="R1153" s="18">
        <v>349</v>
      </c>
      <c r="S1153" s="5" t="s">
        <v>909</v>
      </c>
      <c r="T1153" s="49" t="s">
        <v>54</v>
      </c>
      <c r="U1153" s="45" t="s">
        <v>37</v>
      </c>
      <c r="V1153" s="45"/>
      <c r="W1153" s="12" t="s">
        <v>301</v>
      </c>
      <c r="X1153" s="819" t="s">
        <v>73</v>
      </c>
      <c r="Y1153" s="74" t="s">
        <v>39</v>
      </c>
      <c r="Z1153" s="74" t="s">
        <v>95</v>
      </c>
      <c r="AA1153" s="74" t="s">
        <v>54</v>
      </c>
      <c r="AB1153" s="316" t="s">
        <v>1269</v>
      </c>
      <c r="AC1153" s="847"/>
      <c r="AD1153" s="74" t="s">
        <v>141</v>
      </c>
      <c r="AE1153" s="306">
        <v>349</v>
      </c>
    </row>
    <row r="1154" spans="1:31" ht="26.4">
      <c r="A1154" s="852"/>
      <c r="B1154" s="520" t="s">
        <v>48</v>
      </c>
      <c r="C1154" s="465" t="s">
        <v>125</v>
      </c>
      <c r="D1154" s="465" t="s">
        <v>48</v>
      </c>
      <c r="E1154" s="465"/>
      <c r="F1154" s="465"/>
      <c r="G1154" s="465"/>
      <c r="H1154" s="466" t="s">
        <v>82</v>
      </c>
      <c r="I1154" s="484"/>
      <c r="J1154" s="1039" t="s">
        <v>2426</v>
      </c>
      <c r="K1154" s="601"/>
      <c r="L1154" s="466">
        <v>3</v>
      </c>
      <c r="M1154" s="469">
        <f>IF(O1154="tbc","",(IFERROR(EDATE($N1154,-3),"Invalid procurement method or date entered")))</f>
        <v>44217</v>
      </c>
      <c r="N1154" s="469">
        <f>IF(O1154="tbc","",(IFERROR(EDATE(O1154,-L1154),"Invalid procurement method or date entered")))</f>
        <v>44307</v>
      </c>
      <c r="O1154" s="489">
        <v>44398</v>
      </c>
      <c r="P1154" s="490" t="s">
        <v>125</v>
      </c>
      <c r="Q1154" s="490" t="s">
        <v>125</v>
      </c>
      <c r="R1154" s="483">
        <f>5517000+5002000</f>
        <v>10519000</v>
      </c>
      <c r="S1154" s="470" t="s">
        <v>125</v>
      </c>
      <c r="T1154" s="470" t="s">
        <v>144</v>
      </c>
      <c r="U1154" s="470" t="s">
        <v>125</v>
      </c>
      <c r="V1154" s="470"/>
      <c r="W1154" s="577"/>
    </row>
    <row r="1155" spans="1:31" ht="72">
      <c r="A1155" s="888"/>
      <c r="B1155" s="1351"/>
      <c r="C1155" s="4"/>
      <c r="D1155" s="9" t="s">
        <v>60</v>
      </c>
      <c r="E1155" s="9"/>
      <c r="F1155" s="9"/>
      <c r="G1155" s="9"/>
      <c r="H1155" s="5" t="s">
        <v>70</v>
      </c>
      <c r="I1155" s="5" t="s">
        <v>34</v>
      </c>
      <c r="J1155" s="16" t="s">
        <v>263</v>
      </c>
      <c r="K1155" s="16"/>
      <c r="L1155" s="5" t="e">
        <f>IF(OR(S1155=#REF!,S1155=#REF!,S1155=#REF!,S1155=#REF!,S1155=#REF!,S1155=#REF!,S1155=#REF!,S1155=#REF!),12,IF(OR(S1155=#REF!,S1155=#REF!,S1155=#REF!,S1155=#REF!,S1155=#REF!,S1155=#REF!,S1155=#REF!),3,IF(S1155=#REF!,1,IF(S1155=#REF!,18,IF(OR(S1155=#REF!,S1155=#REF!,S1155=#REF!,S1155=#REF!,S1155=#REF!),14,"Invalid proposed procurement method")))))</f>
        <v>#REF!</v>
      </c>
      <c r="M1155" s="193" t="str">
        <f>IFERROR(EDATE($N1155,-3),"Invalid procurement method or date entered")</f>
        <v>Invalid procurement method or date entered</v>
      </c>
      <c r="N1155" s="193" t="str">
        <f>IFERROR(EDATE(O1155,-L1155),"Invalid procurement method or date entered")</f>
        <v>Invalid procurement method or date entered</v>
      </c>
      <c r="O1155" s="193">
        <v>44399</v>
      </c>
      <c r="P1155" s="12">
        <v>36</v>
      </c>
      <c r="Q1155" s="12">
        <v>36</v>
      </c>
      <c r="R1155" s="18">
        <v>74766</v>
      </c>
      <c r="S1155" s="5" t="s">
        <v>217</v>
      </c>
      <c r="T1155" s="9" t="s">
        <v>54</v>
      </c>
      <c r="U1155" s="15" t="s">
        <v>37</v>
      </c>
      <c r="V1155" s="15"/>
      <c r="W1155" s="5" t="s">
        <v>264</v>
      </c>
      <c r="X1155" s="74" t="s">
        <v>1101</v>
      </c>
      <c r="Y1155" s="74" t="s">
        <v>457</v>
      </c>
      <c r="Z1155" s="74"/>
      <c r="AA1155" s="74" t="s">
        <v>54</v>
      </c>
      <c r="AB1155" s="316" t="s">
        <v>1253</v>
      </c>
      <c r="AC1155" s="95" t="s">
        <v>4110</v>
      </c>
      <c r="AD1155" s="74" t="s">
        <v>96</v>
      </c>
      <c r="AE1155" s="864">
        <v>24922</v>
      </c>
    </row>
    <row r="1156" spans="1:31" ht="72">
      <c r="A1156" s="889"/>
      <c r="B1156" s="1347"/>
      <c r="C1156" s="209" t="s">
        <v>287</v>
      </c>
      <c r="D1156" s="86" t="s">
        <v>29</v>
      </c>
      <c r="E1156" s="86"/>
      <c r="F1156" s="86"/>
      <c r="G1156" s="86"/>
      <c r="H1156" s="86" t="s">
        <v>70</v>
      </c>
      <c r="I1156" s="86" t="s">
        <v>34</v>
      </c>
      <c r="J1156" s="97" t="s">
        <v>288</v>
      </c>
      <c r="K1156" s="83"/>
      <c r="L1156" s="86" t="e">
        <f>IF(OR(S1156=#REF!,S1156=#REF!,S1156=#REF!,S1156=#REF!,S1156=#REF!,S1156=#REF!,S1156=#REF!,S1156=#REF!),12,IF(OR(S1156=#REF!,S1156=#REF!,S1156=#REF!,S1156=#REF!,S1156=#REF!,S1156=#REF!,S1156=#REF!),3,IF(S1156=#REF!,1,IF(S1156=#REF!,18,IF(OR(S1156=#REF!,S1156=#REF!,S1156=#REF!,S1156=#REF!,S1156=#REF!),14,"Invalid proposed procurement method")))))</f>
        <v>#REF!</v>
      </c>
      <c r="M1156" s="211" t="str">
        <f>IFERROR(EDATE($N1156,-3),"Invalid procurement method or date entered")</f>
        <v>Invalid procurement method or date entered</v>
      </c>
      <c r="N1156" s="211" t="str">
        <f>IFERROR(EDATE(O1156,-L1156),"Invalid procurement method or date entered")</f>
        <v>Invalid procurement method or date entered</v>
      </c>
      <c r="O1156" s="211">
        <v>44403</v>
      </c>
      <c r="P1156" s="86">
        <v>48</v>
      </c>
      <c r="Q1156" s="86" t="s">
        <v>4111</v>
      </c>
      <c r="R1156" s="234">
        <v>40000</v>
      </c>
      <c r="S1156" s="86" t="s">
        <v>109</v>
      </c>
      <c r="T1156" s="235" t="s">
        <v>54</v>
      </c>
      <c r="U1156" s="85" t="s">
        <v>37</v>
      </c>
      <c r="V1156" s="85"/>
      <c r="W1156" s="86" t="s">
        <v>1290</v>
      </c>
      <c r="X1156" s="824" t="s">
        <v>1091</v>
      </c>
      <c r="Y1156" s="824" t="s">
        <v>457</v>
      </c>
      <c r="Z1156" s="824"/>
      <c r="AA1156" s="824"/>
      <c r="AB1156" s="838" t="s">
        <v>1253</v>
      </c>
      <c r="AC1156" s="853" t="s">
        <v>4112</v>
      </c>
      <c r="AD1156" s="824" t="s">
        <v>101</v>
      </c>
      <c r="AE1156" s="878"/>
    </row>
    <row r="1157" spans="1:31" ht="52.8">
      <c r="A1157" s="852"/>
      <c r="B1157" s="520" t="s">
        <v>48</v>
      </c>
      <c r="C1157" s="465" t="s">
        <v>2363</v>
      </c>
      <c r="D1157" s="466" t="s">
        <v>82</v>
      </c>
      <c r="E1157" s="466"/>
      <c r="F1157" s="466"/>
      <c r="G1157" s="466"/>
      <c r="H1157" s="466" t="s">
        <v>49</v>
      </c>
      <c r="I1157" s="474" t="s">
        <v>34</v>
      </c>
      <c r="J1157" s="1024" t="s">
        <v>2364</v>
      </c>
      <c r="K1157" s="467"/>
      <c r="L1157" s="466">
        <v>12</v>
      </c>
      <c r="M1157" s="469">
        <f>IF(O1157="tbc","",(IFERROR(EDATE($N1157,-3),"Invalid procurement method or date entered")))</f>
        <v>43947</v>
      </c>
      <c r="N1157" s="469">
        <f>IF(O1157="tbc","",(IFERROR(EDATE(O1157,-L1157),"Invalid procurement method or date entered")))</f>
        <v>44038</v>
      </c>
      <c r="O1157" s="470">
        <v>44403</v>
      </c>
      <c r="P1157" s="471">
        <v>2</v>
      </c>
      <c r="Q1157" s="471">
        <v>2</v>
      </c>
      <c r="R1157" s="483">
        <v>144000</v>
      </c>
      <c r="S1157" s="470" t="s">
        <v>173</v>
      </c>
      <c r="T1157" s="470" t="s">
        <v>36</v>
      </c>
      <c r="U1157" s="470" t="s">
        <v>125</v>
      </c>
      <c r="V1157" s="470"/>
      <c r="W1157" s="513" t="s">
        <v>1304</v>
      </c>
    </row>
    <row r="1158" spans="1:31" ht="79.2">
      <c r="A1158" s="852"/>
      <c r="B1158" s="520" t="s">
        <v>48</v>
      </c>
      <c r="C1158" s="465" t="s">
        <v>2376</v>
      </c>
      <c r="D1158" s="466" t="s">
        <v>29</v>
      </c>
      <c r="E1158" s="466"/>
      <c r="F1158" s="466"/>
      <c r="G1158" s="466"/>
      <c r="H1158" s="466" t="s">
        <v>49</v>
      </c>
      <c r="I1158" s="466" t="s">
        <v>34</v>
      </c>
      <c r="J1158" s="1025" t="s">
        <v>2377</v>
      </c>
      <c r="K1158" s="488"/>
      <c r="L1158" s="466">
        <v>12</v>
      </c>
      <c r="M1158" s="469">
        <f>IF(O1158="tbc","",(IFERROR(EDATE($N1158,-3),"Invalid procurement method or date entered")))</f>
        <v>43947</v>
      </c>
      <c r="N1158" s="469">
        <f>IF(O1158="tbc","",(IFERROR(EDATE(O1158,-L1158),"Invalid procurement method or date entered")))</f>
        <v>44038</v>
      </c>
      <c r="O1158" s="489">
        <v>44403</v>
      </c>
      <c r="P1158" s="491">
        <v>2</v>
      </c>
      <c r="Q1158" s="491">
        <v>2</v>
      </c>
      <c r="R1158" s="483">
        <v>250000</v>
      </c>
      <c r="S1158" s="470" t="s">
        <v>173</v>
      </c>
      <c r="T1158" s="470" t="s">
        <v>144</v>
      </c>
      <c r="U1158" s="470" t="s">
        <v>125</v>
      </c>
      <c r="V1158" s="470"/>
      <c r="W1158" s="466" t="s">
        <v>2190</v>
      </c>
    </row>
    <row r="1159" spans="1:31" ht="66">
      <c r="A1159" s="852"/>
      <c r="B1159" s="520" t="s">
        <v>48</v>
      </c>
      <c r="C1159" s="465" t="s">
        <v>2506</v>
      </c>
      <c r="D1159" s="466" t="s">
        <v>214</v>
      </c>
      <c r="E1159" s="466"/>
      <c r="F1159" s="466"/>
      <c r="G1159" s="466"/>
      <c r="H1159" s="466" t="s">
        <v>127</v>
      </c>
      <c r="I1159" s="465" t="s">
        <v>2244</v>
      </c>
      <c r="J1159" s="1025" t="s">
        <v>2507</v>
      </c>
      <c r="K1159" s="744"/>
      <c r="L1159" s="466">
        <v>3</v>
      </c>
      <c r="M1159" s="468" t="s">
        <v>125</v>
      </c>
      <c r="N1159" s="469">
        <f>IF(O1159="tbc","",(IFERROR(EDATE(O1159,-L1159),"Invalid procurement method or date entered")))</f>
        <v>44312</v>
      </c>
      <c r="O1159" s="489">
        <v>44403</v>
      </c>
      <c r="P1159" s="490" t="s">
        <v>125</v>
      </c>
      <c r="Q1159" s="490" t="s">
        <v>125</v>
      </c>
      <c r="R1159" s="483">
        <v>330000</v>
      </c>
      <c r="S1159" s="470" t="s">
        <v>129</v>
      </c>
      <c r="T1159" s="470" t="s">
        <v>36</v>
      </c>
      <c r="U1159" s="475" t="s">
        <v>200</v>
      </c>
      <c r="V1159" s="475"/>
      <c r="W1159" s="476" t="s">
        <v>41</v>
      </c>
    </row>
    <row r="1160" spans="1:31" ht="92.4">
      <c r="A1160" s="852"/>
      <c r="B1160" s="520" t="s">
        <v>48</v>
      </c>
      <c r="C1160" s="465" t="s">
        <v>2367</v>
      </c>
      <c r="D1160" s="466" t="s">
        <v>29</v>
      </c>
      <c r="E1160" s="466"/>
      <c r="F1160" s="466"/>
      <c r="G1160" s="466"/>
      <c r="H1160" s="466" t="s">
        <v>49</v>
      </c>
      <c r="I1160" s="466" t="s">
        <v>34</v>
      </c>
      <c r="J1160" s="1025" t="s">
        <v>2368</v>
      </c>
      <c r="K1160" s="488"/>
      <c r="L1160" s="466">
        <v>12</v>
      </c>
      <c r="M1160" s="469">
        <f>IF(O1160="tbc","",(IFERROR(EDATE($N1160,-3),"Invalid procurement method or date entered")))</f>
        <v>43948</v>
      </c>
      <c r="N1160" s="469">
        <f>IF(O1160="tbc","",(IFERROR(EDATE(O1160,-L1160),"Invalid procurement method or date entered")))</f>
        <v>44039</v>
      </c>
      <c r="O1160" s="489">
        <v>44404</v>
      </c>
      <c r="P1160" s="491">
        <v>2</v>
      </c>
      <c r="Q1160" s="491">
        <v>2</v>
      </c>
      <c r="R1160" s="483">
        <v>250000</v>
      </c>
      <c r="S1160" s="470" t="s">
        <v>173</v>
      </c>
      <c r="T1160" s="470" t="s">
        <v>144</v>
      </c>
      <c r="U1160" s="470" t="s">
        <v>125</v>
      </c>
      <c r="V1160" s="470"/>
      <c r="W1160" s="466" t="s">
        <v>2190</v>
      </c>
    </row>
    <row r="1161" spans="1:31" ht="52.8">
      <c r="A1161" s="852"/>
      <c r="B1161" s="520" t="s">
        <v>48</v>
      </c>
      <c r="C1161" s="465" t="s">
        <v>2341</v>
      </c>
      <c r="D1161" s="466" t="s">
        <v>82</v>
      </c>
      <c r="E1161" s="466"/>
      <c r="F1161" s="466"/>
      <c r="G1161" s="466"/>
      <c r="H1161" s="466" t="s">
        <v>49</v>
      </c>
      <c r="I1161" s="474" t="s">
        <v>34</v>
      </c>
      <c r="J1161" s="1024" t="s">
        <v>2342</v>
      </c>
      <c r="K1161" s="467"/>
      <c r="L1161" s="466">
        <v>12</v>
      </c>
      <c r="M1161" s="469">
        <f>IF(O1161="tbc","",(IFERROR(EDATE($N1161,-3),"Invalid procurement method or date entered")))</f>
        <v>43951</v>
      </c>
      <c r="N1161" s="469">
        <f>IF(O1161="tbc","",(IFERROR(EDATE(O1161,-L1161),"Invalid procurement method or date entered")))</f>
        <v>44043</v>
      </c>
      <c r="O1161" s="470">
        <v>44408</v>
      </c>
      <c r="P1161" s="471">
        <v>2</v>
      </c>
      <c r="Q1161" s="471">
        <v>2</v>
      </c>
      <c r="R1161" s="483">
        <v>391000</v>
      </c>
      <c r="S1161" s="470" t="s">
        <v>173</v>
      </c>
      <c r="T1161" s="470" t="s">
        <v>898</v>
      </c>
      <c r="U1161" s="470" t="s">
        <v>125</v>
      </c>
      <c r="V1161" s="470"/>
      <c r="W1161" s="513" t="s">
        <v>1299</v>
      </c>
    </row>
    <row r="1162" spans="1:31" ht="72">
      <c r="A1162" s="889"/>
      <c r="B1162" s="1351"/>
      <c r="C1162" s="1362" t="s">
        <v>1276</v>
      </c>
      <c r="D1162" s="9" t="s">
        <v>29</v>
      </c>
      <c r="E1162" s="9"/>
      <c r="F1162" s="9"/>
      <c r="G1162" s="9"/>
      <c r="H1162" s="5" t="s">
        <v>70</v>
      </c>
      <c r="I1162" s="5" t="s">
        <v>64</v>
      </c>
      <c r="J1162" s="16" t="s">
        <v>1235</v>
      </c>
      <c r="K1162" s="8"/>
      <c r="L1162" s="5" t="e">
        <f>IF(OR(S1162=#REF!,S1162=#REF!,S1162=#REF!,S1162=#REF!,S1162=#REF!,S1162=#REF!,S1162=#REF!,S1162=#REF!),12,IF(OR(S1162=#REF!,S1162=#REF!,S1162=#REF!,S1162=#REF!,S1162=#REF!,S1162=#REF!,S1162=#REF!),3,IF(S1162=#REF!,1,IF(S1162=#REF!,18,IF(OR(S1162=#REF!,S1162=#REF!,S1162=#REF!,S1162=#REF!,S1162=#REF!),14,"Invalid proposed procurement method")))))</f>
        <v>#REF!</v>
      </c>
      <c r="M1162" s="193" t="str">
        <f t="shared" ref="M1162:M1168" si="20">IFERROR(EDATE($N1162,-3),"Invalid procurement method or date entered")</f>
        <v>Invalid procurement method or date entered</v>
      </c>
      <c r="N1162" s="193" t="str">
        <f t="shared" ref="N1162:N1168" si="21">IFERROR(EDATE(O1162,-L1162),"Invalid procurement method or date entered")</f>
        <v>Invalid procurement method or date entered</v>
      </c>
      <c r="O1162" s="193">
        <v>44409</v>
      </c>
      <c r="P1162" s="5">
        <v>48</v>
      </c>
      <c r="Q1162" s="7" t="s">
        <v>1316</v>
      </c>
      <c r="R1162" s="18">
        <v>67000</v>
      </c>
      <c r="S1162" s="5" t="s">
        <v>66</v>
      </c>
      <c r="T1162" s="49" t="s">
        <v>36</v>
      </c>
      <c r="U1162" s="45" t="s">
        <v>37</v>
      </c>
      <c r="V1162" s="45"/>
      <c r="W1162" s="5" t="s">
        <v>1277</v>
      </c>
      <c r="X1162" s="449" t="s">
        <v>1088</v>
      </c>
      <c r="Y1162" s="74" t="s">
        <v>59</v>
      </c>
      <c r="Z1162" s="74" t="s">
        <v>80</v>
      </c>
      <c r="AA1162" s="74" t="s">
        <v>41</v>
      </c>
      <c r="AB1162" s="316" t="s">
        <v>1253</v>
      </c>
      <c r="AC1162" s="95" t="s">
        <v>4113</v>
      </c>
      <c r="AD1162" s="74" t="s">
        <v>245</v>
      </c>
      <c r="AE1162" s="204">
        <v>16750</v>
      </c>
    </row>
    <row r="1163" spans="1:31" ht="72">
      <c r="A1163" s="888"/>
      <c r="B1163" s="1347"/>
      <c r="C1163" s="4" t="s">
        <v>1278</v>
      </c>
      <c r="D1163" s="5" t="s">
        <v>29</v>
      </c>
      <c r="E1163" s="5"/>
      <c r="F1163" s="5"/>
      <c r="G1163" s="5"/>
      <c r="H1163" s="5" t="s">
        <v>563</v>
      </c>
      <c r="I1163" s="5" t="s">
        <v>64</v>
      </c>
      <c r="J1163" s="16" t="s">
        <v>1279</v>
      </c>
      <c r="K1163" s="8"/>
      <c r="L1163" s="5" t="e">
        <f>IF(OR(S1163=#REF!,S1163=#REF!,S1163=#REF!,S1163=#REF!,S1163=#REF!,S1163=#REF!,S1163=#REF!,S1163=#REF!),12,IF(OR(S1163=#REF!,S1163=#REF!,S1163=#REF!,S1163=#REF!,S1163=#REF!,S1163=#REF!,S1163=#REF!),3,IF(S1163=#REF!,1,IF(S1163=#REF!,18,IF(OR(S1163=#REF!,S1163=#REF!,S1163=#REF!,S1163=#REF!,S1163=#REF!),14,"Invalid proposed procurement method")))))</f>
        <v>#REF!</v>
      </c>
      <c r="M1163" s="193" t="str">
        <f t="shared" si="20"/>
        <v>Invalid procurement method or date entered</v>
      </c>
      <c r="N1163" s="193" t="str">
        <f t="shared" si="21"/>
        <v>Invalid procurement method or date entered</v>
      </c>
      <c r="O1163" s="193">
        <v>44409</v>
      </c>
      <c r="P1163" s="5">
        <v>48</v>
      </c>
      <c r="Q1163" s="5" t="s">
        <v>4114</v>
      </c>
      <c r="R1163" s="79">
        <v>360000</v>
      </c>
      <c r="S1163" s="5" t="s">
        <v>66</v>
      </c>
      <c r="T1163" s="11" t="s">
        <v>54</v>
      </c>
      <c r="U1163" s="12" t="s">
        <v>37</v>
      </c>
      <c r="V1163" s="12"/>
      <c r="W1163" s="5" t="s">
        <v>4115</v>
      </c>
      <c r="X1163" s="74" t="s">
        <v>68</v>
      </c>
      <c r="Y1163" s="74" t="s">
        <v>457</v>
      </c>
      <c r="Z1163" s="74" t="s">
        <v>95</v>
      </c>
      <c r="AA1163" s="74" t="s">
        <v>41</v>
      </c>
      <c r="AB1163" s="316" t="s">
        <v>1253</v>
      </c>
      <c r="AC1163" s="846" t="s">
        <v>4116</v>
      </c>
      <c r="AD1163" s="74" t="s">
        <v>42</v>
      </c>
      <c r="AE1163" s="204">
        <v>90000</v>
      </c>
    </row>
    <row r="1164" spans="1:31" ht="72">
      <c r="A1164" s="889"/>
      <c r="B1164" s="1351"/>
      <c r="C1164" s="1362" t="s">
        <v>4117</v>
      </c>
      <c r="D1164" s="5" t="s">
        <v>29</v>
      </c>
      <c r="E1164" s="5"/>
      <c r="F1164" s="5"/>
      <c r="G1164" s="5"/>
      <c r="H1164" s="5" t="s">
        <v>70</v>
      </c>
      <c r="I1164" s="5" t="s">
        <v>64</v>
      </c>
      <c r="J1164" s="16" t="s">
        <v>910</v>
      </c>
      <c r="K1164" s="16"/>
      <c r="L1164" s="5" t="e">
        <f>IF(OR(S1164=#REF!,S1164=#REF!,S1164=#REF!,S1164=#REF!,S1164=#REF!,S1164=#REF!,S1164=#REF!,S1164=#REF!),12,IF(OR(S1164=#REF!,S1164=#REF!,S1164=#REF!,S1164=#REF!,S1164=#REF!,S1164=#REF!,S1164=#REF!),3,IF(S1164=#REF!,1,IF(S1164=#REF!,18,IF(OR(S1164=#REF!,S1164=#REF!,S1164=#REF!,S1164=#REF!,S1164=#REF!),14,"Invalid proposed procurement method")))))</f>
        <v>#REF!</v>
      </c>
      <c r="M1164" s="193" t="str">
        <f t="shared" si="20"/>
        <v>Invalid procurement method or date entered</v>
      </c>
      <c r="N1164" s="193" t="str">
        <f t="shared" si="21"/>
        <v>Invalid procurement method or date entered</v>
      </c>
      <c r="O1164" s="176">
        <v>44409</v>
      </c>
      <c r="P1164" s="12">
        <v>48</v>
      </c>
      <c r="Q1164" s="13" t="s">
        <v>1061</v>
      </c>
      <c r="R1164" s="18">
        <v>170000</v>
      </c>
      <c r="S1164" s="5" t="s">
        <v>66</v>
      </c>
      <c r="T1164" s="5" t="s">
        <v>36</v>
      </c>
      <c r="U1164" s="12" t="s">
        <v>37</v>
      </c>
      <c r="V1164" s="12"/>
      <c r="W1164" s="5" t="s">
        <v>286</v>
      </c>
      <c r="X1164" s="74" t="s">
        <v>1088</v>
      </c>
      <c r="Y1164" s="74" t="s">
        <v>457</v>
      </c>
      <c r="Z1164" s="74" t="s">
        <v>80</v>
      </c>
      <c r="AA1164" s="74" t="s">
        <v>41</v>
      </c>
      <c r="AB1164" s="838" t="s">
        <v>1253</v>
      </c>
      <c r="AC1164" s="846" t="s">
        <v>4118</v>
      </c>
      <c r="AD1164" s="74" t="s">
        <v>85</v>
      </c>
      <c r="AE1164" s="865">
        <v>42500</v>
      </c>
    </row>
    <row r="1165" spans="1:31" ht="72">
      <c r="A1165" s="889"/>
      <c r="B1165" s="1351"/>
      <c r="C1165" s="4" t="s">
        <v>102</v>
      </c>
      <c r="D1165" s="9" t="s">
        <v>29</v>
      </c>
      <c r="E1165" s="9"/>
      <c r="F1165" s="9"/>
      <c r="G1165" s="9"/>
      <c r="H1165" s="5" t="s">
        <v>103</v>
      </c>
      <c r="I1165" s="12" t="s">
        <v>64</v>
      </c>
      <c r="J1165" s="16" t="s">
        <v>104</v>
      </c>
      <c r="K1165" s="16"/>
      <c r="L1165" s="5" t="e">
        <f>IF(OR(S1165=#REF!,S1165=#REF!,S1165=#REF!,S1165=#REF!,S1165=#REF!,S1165=#REF!,S1165=#REF!,S1165=#REF!),12,IF(OR(S1165=#REF!,S1165=#REF!,S1165=#REF!,S1165=#REF!,S1165=#REF!,S1165=#REF!,S1165=#REF!),3,IF(S1165=#REF!,1,IF(S1165=#REF!,18,IF(OR(S1165=#REF!,S1165=#REF!,S1165=#REF!,S1165=#REF!,S1165=#REF!),14,"Invalid proposed procurement method")))))</f>
        <v>#REF!</v>
      </c>
      <c r="M1165" s="193" t="str">
        <f t="shared" si="20"/>
        <v>Invalid procurement method or date entered</v>
      </c>
      <c r="N1165" s="193" t="str">
        <f t="shared" si="21"/>
        <v>Invalid procurement method or date entered</v>
      </c>
      <c r="O1165" s="193">
        <v>44409</v>
      </c>
      <c r="P1165" s="12">
        <v>36</v>
      </c>
      <c r="Q1165" s="7" t="s">
        <v>4119</v>
      </c>
      <c r="R1165" s="18">
        <v>3850000</v>
      </c>
      <c r="S1165" s="5" t="s">
        <v>109</v>
      </c>
      <c r="T1165" s="49" t="s">
        <v>41</v>
      </c>
      <c r="U1165" s="203">
        <v>44404</v>
      </c>
      <c r="V1165" s="203"/>
      <c r="W1165" s="5" t="s">
        <v>4120</v>
      </c>
      <c r="X1165" s="74" t="s">
        <v>68</v>
      </c>
      <c r="Y1165" s="74" t="s">
        <v>457</v>
      </c>
      <c r="Z1165" s="74" t="s">
        <v>80</v>
      </c>
      <c r="AA1165" s="74" t="s">
        <v>41</v>
      </c>
      <c r="AB1165" s="316">
        <v>44427</v>
      </c>
      <c r="AC1165" s="95" t="s">
        <v>4121</v>
      </c>
      <c r="AD1165" s="74" t="s">
        <v>42</v>
      </c>
      <c r="AE1165" s="204">
        <v>500000</v>
      </c>
    </row>
    <row r="1166" spans="1:31" ht="72">
      <c r="A1166" s="852"/>
      <c r="B1166" s="1351" t="s">
        <v>28</v>
      </c>
      <c r="C1166" s="4" t="s">
        <v>1234</v>
      </c>
      <c r="D1166" s="9" t="s">
        <v>29</v>
      </c>
      <c r="E1166" s="9"/>
      <c r="F1166" s="9"/>
      <c r="G1166" s="9"/>
      <c r="H1166" s="5" t="s">
        <v>70</v>
      </c>
      <c r="I1166" s="5" t="s">
        <v>34</v>
      </c>
      <c r="J1166" s="16" t="s">
        <v>1235</v>
      </c>
      <c r="K1166" s="8"/>
      <c r="L1166" s="5" t="e">
        <f>IF(OR(S1166=#REF!,S1166=#REF!,S1166=#REF!,S1166=#REF!,S1166=#REF!,S1166=#REF!,S1166=#REF!,S1166=#REF!),12,IF(OR(S1166=#REF!,S1166=#REF!,S1166=#REF!,S1166=#REF!,S1166=#REF!,S1166=#REF!,S1166=#REF!),3,IF(S1166=#REF!,1,IF(S1166=#REF!,18,IF(OR(S1166=#REF!,S1166=#REF!,S1166=#REF!,S1166=#REF!,S1166=#REF!),14,"Invalid proposed procurement method")))))</f>
        <v>#REF!</v>
      </c>
      <c r="M1166" s="193" t="str">
        <f t="shared" si="20"/>
        <v>Invalid procurement method or date entered</v>
      </c>
      <c r="N1166" s="193" t="str">
        <f t="shared" si="21"/>
        <v>Invalid procurement method or date entered</v>
      </c>
      <c r="O1166" s="14">
        <v>44409</v>
      </c>
      <c r="P1166" s="5">
        <v>48</v>
      </c>
      <c r="Q1166" s="5" t="s">
        <v>191</v>
      </c>
      <c r="R1166" s="58">
        <v>34622</v>
      </c>
      <c r="S1166" s="5" t="s">
        <v>109</v>
      </c>
      <c r="T1166" s="9" t="s">
        <v>54</v>
      </c>
      <c r="U1166" s="15" t="s">
        <v>37</v>
      </c>
      <c r="V1166" s="15"/>
      <c r="W1166" s="5" t="s">
        <v>1277</v>
      </c>
      <c r="X1166" s="74" t="s">
        <v>1053</v>
      </c>
      <c r="Y1166" s="74" t="s">
        <v>457</v>
      </c>
      <c r="Z1166" s="74" t="s">
        <v>95</v>
      </c>
      <c r="AA1166" s="74" t="s">
        <v>41</v>
      </c>
      <c r="AB1166" s="316" t="s">
        <v>1263</v>
      </c>
      <c r="AC1166" s="847" t="s">
        <v>1246</v>
      </c>
      <c r="AD1166" s="74" t="s">
        <v>245</v>
      </c>
      <c r="AE1166" s="204"/>
    </row>
    <row r="1167" spans="1:31" ht="72">
      <c r="A1167" s="852"/>
      <c r="B1167" s="1351" t="s">
        <v>28</v>
      </c>
      <c r="C1167" s="10">
        <v>51302</v>
      </c>
      <c r="D1167" s="5" t="s">
        <v>29</v>
      </c>
      <c r="E1167" s="5"/>
      <c r="F1167" s="5"/>
      <c r="G1167" s="5"/>
      <c r="H1167" s="5" t="s">
        <v>81</v>
      </c>
      <c r="I1167" s="5" t="s">
        <v>34</v>
      </c>
      <c r="J1167" s="16" t="s">
        <v>989</v>
      </c>
      <c r="K1167" s="8"/>
      <c r="L1167" s="5" t="e">
        <f>IF(OR(S1167=#REF!,S1167=#REF!,S1167=#REF!,S1167=#REF!,S1167=#REF!,S1167=#REF!,S1167=#REF!,S1167=#REF!),12,IF(OR(S1167=#REF!,S1167=#REF!,S1167=#REF!,S1167=#REF!,S1167=#REF!,S1167=#REF!,S1167=#REF!),3,IF(S1167=#REF!,1,IF(S1167=#REF!,18,IF(OR(S1167=#REF!,S1167=#REF!,S1167=#REF!,S1167=#REF!,S1167=#REF!),14,"Invalid proposed procurement method")))))</f>
        <v>#REF!</v>
      </c>
      <c r="M1167" s="193" t="str">
        <f t="shared" si="20"/>
        <v>Invalid procurement method or date entered</v>
      </c>
      <c r="N1167" s="193" t="str">
        <f t="shared" si="21"/>
        <v>Invalid procurement method or date entered</v>
      </c>
      <c r="O1167" s="193">
        <v>44409</v>
      </c>
      <c r="P1167" s="5">
        <v>36</v>
      </c>
      <c r="Q1167" s="5">
        <v>36</v>
      </c>
      <c r="R1167" s="39">
        <v>0</v>
      </c>
      <c r="S1167" s="5" t="s">
        <v>109</v>
      </c>
      <c r="T1167" s="11" t="s">
        <v>54</v>
      </c>
      <c r="U1167" s="11" t="s">
        <v>37</v>
      </c>
      <c r="V1167" s="11"/>
      <c r="W1167" s="12" t="s">
        <v>990</v>
      </c>
      <c r="X1167" s="74" t="s">
        <v>94</v>
      </c>
      <c r="Y1167" s="74" t="s">
        <v>457</v>
      </c>
      <c r="Z1167" s="74" t="s">
        <v>95</v>
      </c>
      <c r="AA1167" s="74" t="s">
        <v>41</v>
      </c>
      <c r="AB1167" s="316" t="s">
        <v>1245</v>
      </c>
      <c r="AC1167" s="846" t="s">
        <v>4122</v>
      </c>
      <c r="AD1167" s="70" t="s">
        <v>81</v>
      </c>
      <c r="AE1167" s="204">
        <v>0</v>
      </c>
    </row>
    <row r="1168" spans="1:31" ht="72">
      <c r="A1168" s="1363"/>
      <c r="B1168" s="1351" t="s">
        <v>28</v>
      </c>
      <c r="C1168" s="4" t="s">
        <v>228</v>
      </c>
      <c r="D1168" s="5" t="s">
        <v>29</v>
      </c>
      <c r="E1168" s="5"/>
      <c r="F1168" s="5"/>
      <c r="G1168" s="5"/>
      <c r="H1168" s="5" t="s">
        <v>119</v>
      </c>
      <c r="I1168" s="5" t="s">
        <v>34</v>
      </c>
      <c r="J1168" s="16" t="s">
        <v>229</v>
      </c>
      <c r="K1168" s="16"/>
      <c r="L1168" s="5" t="e">
        <f>IF(OR(S1168=#REF!,S1168=#REF!,S1168=#REF!,S1168=#REF!,S1168=#REF!,S1168=#REF!,S1168=#REF!,S1168=#REF!),12,IF(OR(S1168=#REF!,S1168=#REF!,S1168=#REF!,S1168=#REF!,S1168=#REF!,S1168=#REF!,S1168=#REF!),3,IF(S1168=#REF!,1,IF(S1168=#REF!,18,IF(OR(S1168=#REF!,S1168=#REF!,S1168=#REF!,S1168=#REF!,S1168=#REF!),14,"Invalid proposed procurement method")))))</f>
        <v>#REF!</v>
      </c>
      <c r="M1168" s="193" t="str">
        <f t="shared" si="20"/>
        <v>Invalid procurement method or date entered</v>
      </c>
      <c r="N1168" s="193" t="str">
        <f t="shared" si="21"/>
        <v>Invalid procurement method or date entered</v>
      </c>
      <c r="O1168" s="176">
        <v>44409</v>
      </c>
      <c r="P1168" s="12">
        <v>48</v>
      </c>
      <c r="Q1168" s="12" t="s">
        <v>191</v>
      </c>
      <c r="R1168" s="89">
        <v>60000</v>
      </c>
      <c r="S1168" s="193" t="s">
        <v>173</v>
      </c>
      <c r="T1168" s="5" t="s">
        <v>54</v>
      </c>
      <c r="U1168" s="11" t="s">
        <v>37</v>
      </c>
      <c r="V1168" s="11"/>
      <c r="W1168" s="12" t="s">
        <v>89</v>
      </c>
      <c r="X1168" s="74" t="s">
        <v>94</v>
      </c>
      <c r="Y1168" s="74" t="s">
        <v>457</v>
      </c>
      <c r="Z1168" s="74" t="s">
        <v>40</v>
      </c>
      <c r="AA1168" s="74" t="s">
        <v>41</v>
      </c>
      <c r="AB1168" s="316" t="s">
        <v>1245</v>
      </c>
      <c r="AC1168" s="95" t="s">
        <v>4123</v>
      </c>
      <c r="AD1168" s="74" t="s">
        <v>42</v>
      </c>
      <c r="AE1168" s="306"/>
    </row>
    <row r="1169" spans="1:32" ht="72">
      <c r="A1169" s="888"/>
      <c r="B1169" s="4" t="s">
        <v>28</v>
      </c>
      <c r="C1169" s="142" t="s">
        <v>1278</v>
      </c>
      <c r="D1169" s="9" t="s">
        <v>29</v>
      </c>
      <c r="E1169" s="9"/>
      <c r="F1169" s="9"/>
      <c r="G1169" s="9"/>
      <c r="H1169" s="9" t="s">
        <v>563</v>
      </c>
      <c r="I1169" s="9" t="s">
        <v>64</v>
      </c>
      <c r="J1169" s="60" t="s">
        <v>1279</v>
      </c>
      <c r="K1169" s="6"/>
      <c r="L1169" s="6"/>
      <c r="M1169" s="177">
        <v>44197</v>
      </c>
      <c r="N1169" s="177"/>
      <c r="O1169" s="177">
        <v>44409</v>
      </c>
      <c r="P1169" s="9">
        <v>48</v>
      </c>
      <c r="Q1169" s="258" t="s">
        <v>1316</v>
      </c>
      <c r="R1169" s="58">
        <v>252000</v>
      </c>
      <c r="S1169" s="9" t="s">
        <v>98</v>
      </c>
      <c r="T1169" s="208" t="s">
        <v>54</v>
      </c>
      <c r="U1169" s="1477"/>
      <c r="V1169" s="1477"/>
      <c r="W1169" s="9" t="s">
        <v>3247</v>
      </c>
      <c r="X1169" s="819" t="s">
        <v>234</v>
      </c>
      <c r="Y1169" s="74" t="s">
        <v>457</v>
      </c>
      <c r="Z1169" s="74"/>
      <c r="AA1169" s="819"/>
      <c r="AB1169" s="841">
        <v>43712</v>
      </c>
      <c r="AC1169" s="847" t="s">
        <v>4124</v>
      </c>
      <c r="AD1169" s="1462"/>
      <c r="AE1169" s="864">
        <v>63000</v>
      </c>
    </row>
    <row r="1170" spans="1:32" ht="72">
      <c r="A1170" s="888"/>
      <c r="B1170" s="169"/>
      <c r="C1170" s="169" t="s">
        <v>3520</v>
      </c>
      <c r="D1170" s="1002" t="s">
        <v>29</v>
      </c>
      <c r="E1170" s="1002"/>
      <c r="F1170" s="1002"/>
      <c r="G1170" s="1002"/>
      <c r="H1170" s="1002" t="s">
        <v>70</v>
      </c>
      <c r="I1170" s="1002" t="s">
        <v>50</v>
      </c>
      <c r="J1170" s="1002" t="s">
        <v>4125</v>
      </c>
      <c r="K1170" s="1002"/>
      <c r="L1170" s="1002" t="e">
        <f>IF(OR(S1170=#REF!,S1170=#REF!,S1170=#REF!,S1170=#REF!,S1170=#REF!,S1170=#REF!,S1170=#REF!,S1170=#REF!),12,IF(OR(S1170=#REF!,S1170=#REF!,S1170=#REF!,S1170=#REF!,S1170=#REF!,S1170=#REF!,S1170=#REF!),3,IF(S1170=#REF!,1,IF(S1170=#REF!,18,IF(OR(S1170=#REF!,S1170=#REF!,S1170=#REF!,S1170=#REF!,S1170=#REF!),14,"Invalid proposed procurement method")))))</f>
        <v>#REF!</v>
      </c>
      <c r="M1170" s="1003" t="str">
        <f>IFERROR(EDATE($N1170,-3),"Invalid procurement method or date entered")</f>
        <v>Invalid procurement method or date entered</v>
      </c>
      <c r="N1170" s="1003" t="str">
        <f>IFERROR(EDATE(O1170,-L1170),"Invalid procurement method or date entered")</f>
        <v>Invalid procurement method or date entered</v>
      </c>
      <c r="O1170" s="1003">
        <v>44409</v>
      </c>
      <c r="P1170" s="1002">
        <v>22</v>
      </c>
      <c r="Q1170" s="1002" t="s">
        <v>4126</v>
      </c>
      <c r="R1170" s="1004">
        <v>23000</v>
      </c>
      <c r="S1170" s="1002" t="s">
        <v>53</v>
      </c>
      <c r="T1170" s="1005" t="s">
        <v>54</v>
      </c>
      <c r="U1170" s="169" t="s">
        <v>37</v>
      </c>
      <c r="V1170" s="169"/>
      <c r="W1170" s="1002" t="s">
        <v>4127</v>
      </c>
      <c r="X1170" s="1006" t="s">
        <v>90</v>
      </c>
      <c r="Y1170" s="1006" t="s">
        <v>457</v>
      </c>
      <c r="Z1170" s="1006" t="s">
        <v>95</v>
      </c>
      <c r="AA1170" s="1006" t="s">
        <v>54</v>
      </c>
      <c r="AB1170" s="1007" t="s">
        <v>1253</v>
      </c>
      <c r="AC1170" s="1008" t="s">
        <v>4128</v>
      </c>
      <c r="AD1170" s="1006" t="s">
        <v>85</v>
      </c>
      <c r="AE1170" s="1009">
        <v>5000</v>
      </c>
    </row>
    <row r="1171" spans="1:32" ht="52.8">
      <c r="A1171" s="852"/>
      <c r="B1171" s="520" t="s">
        <v>48</v>
      </c>
      <c r="C1171" s="465" t="s">
        <v>125</v>
      </c>
      <c r="D1171" s="466" t="s">
        <v>60</v>
      </c>
      <c r="E1171" s="466"/>
      <c r="F1171" s="466"/>
      <c r="G1171" s="466"/>
      <c r="H1171" s="466" t="s">
        <v>127</v>
      </c>
      <c r="I1171" s="474" t="s">
        <v>64</v>
      </c>
      <c r="J1171" s="1024" t="s">
        <v>646</v>
      </c>
      <c r="K1171" s="467"/>
      <c r="L1171" s="466">
        <v>12</v>
      </c>
      <c r="M1171" s="469">
        <f t="shared" ref="M1171:M1177" si="22">IF(O1171="tbc","",(IFERROR(EDATE($N1171,-3),"Invalid procurement method or date entered")))</f>
        <v>43952</v>
      </c>
      <c r="N1171" s="469">
        <f t="shared" ref="N1171:N1178" si="23">IF(O1171="tbc","",(IFERROR(EDATE(O1171,-L1171),"Invalid procurement method or date entered")))</f>
        <v>44044</v>
      </c>
      <c r="O1171" s="470">
        <v>44409</v>
      </c>
      <c r="P1171" s="471">
        <v>36</v>
      </c>
      <c r="Q1171" s="471">
        <v>36</v>
      </c>
      <c r="R1171" s="483">
        <f>SUM(AVERAGE(487693.25,440762.85,296504.37))*3</f>
        <v>1224960.47</v>
      </c>
      <c r="S1171" s="470" t="s">
        <v>66</v>
      </c>
      <c r="T1171" s="470" t="s">
        <v>144</v>
      </c>
      <c r="U1171" s="470" t="s">
        <v>125</v>
      </c>
      <c r="V1171" s="470"/>
      <c r="W1171" s="513" t="s">
        <v>2370</v>
      </c>
    </row>
    <row r="1172" spans="1:32" ht="66">
      <c r="A1172" s="852"/>
      <c r="B1172" s="520" t="s">
        <v>48</v>
      </c>
      <c r="C1172" s="465" t="s">
        <v>2408</v>
      </c>
      <c r="D1172" s="510" t="s">
        <v>214</v>
      </c>
      <c r="E1172" s="510"/>
      <c r="F1172" s="510"/>
      <c r="G1172" s="510"/>
      <c r="H1172" s="466" t="s">
        <v>127</v>
      </c>
      <c r="I1172" s="465" t="s">
        <v>34</v>
      </c>
      <c r="J1172" s="1025" t="s">
        <v>2409</v>
      </c>
      <c r="K1172" s="488"/>
      <c r="L1172" s="466">
        <v>3</v>
      </c>
      <c r="M1172" s="469">
        <f t="shared" si="22"/>
        <v>44228</v>
      </c>
      <c r="N1172" s="469">
        <f t="shared" si="23"/>
        <v>44317</v>
      </c>
      <c r="O1172" s="489">
        <v>44409</v>
      </c>
      <c r="P1172" s="490">
        <v>2</v>
      </c>
      <c r="Q1172" s="490">
        <v>2</v>
      </c>
      <c r="R1172" s="483">
        <v>290000</v>
      </c>
      <c r="S1172" s="470" t="s">
        <v>129</v>
      </c>
      <c r="T1172" s="470" t="s">
        <v>36</v>
      </c>
      <c r="U1172" s="470" t="s">
        <v>125</v>
      </c>
      <c r="V1172" s="470"/>
      <c r="W1172" s="465" t="s">
        <v>2190</v>
      </c>
    </row>
    <row r="1173" spans="1:32" ht="66">
      <c r="A1173" s="852"/>
      <c r="B1173" s="520" t="s">
        <v>48</v>
      </c>
      <c r="C1173" s="465" t="s">
        <v>2433</v>
      </c>
      <c r="D1173" s="465" t="s">
        <v>48</v>
      </c>
      <c r="E1173" s="465"/>
      <c r="F1173" s="465"/>
      <c r="G1173" s="465"/>
      <c r="H1173" s="510" t="s">
        <v>214</v>
      </c>
      <c r="I1173" s="465" t="s">
        <v>34</v>
      </c>
      <c r="J1173" s="1025" t="s">
        <v>2434</v>
      </c>
      <c r="K1173" s="744"/>
      <c r="L1173" s="466">
        <v>3</v>
      </c>
      <c r="M1173" s="469">
        <f t="shared" si="22"/>
        <v>44228</v>
      </c>
      <c r="N1173" s="469">
        <f t="shared" si="23"/>
        <v>44317</v>
      </c>
      <c r="O1173" s="489">
        <v>44409</v>
      </c>
      <c r="P1173" s="490">
        <v>1</v>
      </c>
      <c r="Q1173" s="490">
        <v>1</v>
      </c>
      <c r="R1173" s="483">
        <v>505378</v>
      </c>
      <c r="S1173" s="470" t="s">
        <v>129</v>
      </c>
      <c r="T1173" s="470" t="s">
        <v>2435</v>
      </c>
      <c r="U1173" s="470" t="s">
        <v>125</v>
      </c>
      <c r="V1173" s="470"/>
      <c r="W1173" s="465" t="s">
        <v>2190</v>
      </c>
    </row>
    <row r="1174" spans="1:32" ht="66">
      <c r="A1174" s="852"/>
      <c r="B1174" s="520" t="s">
        <v>48</v>
      </c>
      <c r="C1174" s="466" t="s">
        <v>2446</v>
      </c>
      <c r="D1174" s="466" t="s">
        <v>60</v>
      </c>
      <c r="E1174" s="466"/>
      <c r="F1174" s="466"/>
      <c r="G1174" s="466"/>
      <c r="H1174" s="466" t="s">
        <v>127</v>
      </c>
      <c r="I1174" s="474" t="s">
        <v>34</v>
      </c>
      <c r="J1174" s="1024" t="s">
        <v>2447</v>
      </c>
      <c r="K1174" s="744"/>
      <c r="L1174" s="466">
        <v>3</v>
      </c>
      <c r="M1174" s="469">
        <f t="shared" si="22"/>
        <v>44228</v>
      </c>
      <c r="N1174" s="469">
        <f t="shared" si="23"/>
        <v>44317</v>
      </c>
      <c r="O1174" s="470">
        <v>44409</v>
      </c>
      <c r="P1174" s="471" t="s">
        <v>125</v>
      </c>
      <c r="Q1174" s="474" t="s">
        <v>125</v>
      </c>
      <c r="R1174" s="483">
        <v>250000</v>
      </c>
      <c r="S1174" s="470" t="s">
        <v>129</v>
      </c>
      <c r="T1174" s="470" t="s">
        <v>36</v>
      </c>
      <c r="U1174" s="466" t="s">
        <v>125</v>
      </c>
      <c r="V1174" s="466"/>
      <c r="W1174" s="466"/>
    </row>
    <row r="1175" spans="1:32" ht="66">
      <c r="A1175" s="852"/>
      <c r="B1175" s="520" t="s">
        <v>48</v>
      </c>
      <c r="C1175" s="466" t="s">
        <v>2452</v>
      </c>
      <c r="D1175" s="466" t="s">
        <v>60</v>
      </c>
      <c r="E1175" s="466"/>
      <c r="F1175" s="466"/>
      <c r="G1175" s="466"/>
      <c r="H1175" s="466" t="s">
        <v>127</v>
      </c>
      <c r="I1175" s="474" t="s">
        <v>34</v>
      </c>
      <c r="J1175" s="1024" t="s">
        <v>2453</v>
      </c>
      <c r="K1175" s="744"/>
      <c r="L1175" s="466">
        <v>3</v>
      </c>
      <c r="M1175" s="469">
        <f t="shared" si="22"/>
        <v>44228</v>
      </c>
      <c r="N1175" s="469">
        <f t="shared" si="23"/>
        <v>44317</v>
      </c>
      <c r="O1175" s="470">
        <v>44409</v>
      </c>
      <c r="P1175" s="471">
        <v>2</v>
      </c>
      <c r="Q1175" s="482">
        <v>2</v>
      </c>
      <c r="R1175" s="483">
        <v>80000</v>
      </c>
      <c r="S1175" s="470" t="s">
        <v>129</v>
      </c>
      <c r="T1175" s="470" t="s">
        <v>36</v>
      </c>
      <c r="U1175" s="466" t="s">
        <v>125</v>
      </c>
      <c r="V1175" s="466"/>
      <c r="W1175" s="465"/>
    </row>
    <row r="1176" spans="1:32" ht="52.8">
      <c r="A1176" s="852"/>
      <c r="B1176" s="520" t="s">
        <v>48</v>
      </c>
      <c r="C1176" s="466" t="s">
        <v>2484</v>
      </c>
      <c r="D1176" s="466" t="s">
        <v>214</v>
      </c>
      <c r="E1176" s="466"/>
      <c r="F1176" s="466"/>
      <c r="G1176" s="466"/>
      <c r="H1176" s="466" t="s">
        <v>127</v>
      </c>
      <c r="I1176" s="474" t="s">
        <v>34</v>
      </c>
      <c r="J1176" s="549" t="s">
        <v>2485</v>
      </c>
      <c r="K1176" s="744"/>
      <c r="L1176" s="466">
        <v>2</v>
      </c>
      <c r="M1176" s="469">
        <f t="shared" si="22"/>
        <v>44256</v>
      </c>
      <c r="N1176" s="469">
        <f t="shared" si="23"/>
        <v>44348</v>
      </c>
      <c r="O1176" s="469">
        <v>44409</v>
      </c>
      <c r="P1176" s="491">
        <v>1</v>
      </c>
      <c r="Q1176" s="491">
        <v>1</v>
      </c>
      <c r="R1176" s="493">
        <v>200000</v>
      </c>
      <c r="S1176" s="470" t="s">
        <v>109</v>
      </c>
      <c r="T1176" s="470" t="s">
        <v>36</v>
      </c>
      <c r="U1176" s="466" t="s">
        <v>125</v>
      </c>
      <c r="V1176" s="466"/>
      <c r="W1176" s="354" t="s">
        <v>41</v>
      </c>
    </row>
    <row r="1177" spans="1:32" ht="39.6">
      <c r="A1177" s="852"/>
      <c r="B1177" s="520" t="s">
        <v>48</v>
      </c>
      <c r="C1177" s="465" t="s">
        <v>125</v>
      </c>
      <c r="D1177" s="466" t="s">
        <v>92</v>
      </c>
      <c r="E1177" s="466"/>
      <c r="F1177" s="466"/>
      <c r="G1177" s="466"/>
      <c r="H1177" s="466" t="s">
        <v>49</v>
      </c>
      <c r="I1177" s="465" t="s">
        <v>34</v>
      </c>
      <c r="J1177" s="1025" t="s">
        <v>2491</v>
      </c>
      <c r="K1177" s="544"/>
      <c r="L1177" s="466">
        <v>12</v>
      </c>
      <c r="M1177" s="469">
        <f t="shared" si="22"/>
        <v>43952</v>
      </c>
      <c r="N1177" s="469">
        <f t="shared" si="23"/>
        <v>44044</v>
      </c>
      <c r="O1177" s="489">
        <v>44409</v>
      </c>
      <c r="P1177" s="490">
        <v>10</v>
      </c>
      <c r="Q1177" s="490">
        <v>10</v>
      </c>
      <c r="R1177" s="483">
        <f>120*3750</f>
        <v>450000</v>
      </c>
      <c r="S1177" s="470" t="s">
        <v>109</v>
      </c>
      <c r="T1177" s="470" t="s">
        <v>36</v>
      </c>
      <c r="U1177" s="470" t="s">
        <v>125</v>
      </c>
      <c r="V1177" s="470"/>
      <c r="W1177" s="354" t="s">
        <v>41</v>
      </c>
    </row>
    <row r="1178" spans="1:32" ht="52.8">
      <c r="A1178" s="852"/>
      <c r="B1178" s="520" t="s">
        <v>48</v>
      </c>
      <c r="C1178" s="465" t="s">
        <v>125</v>
      </c>
      <c r="D1178" s="466" t="s">
        <v>60</v>
      </c>
      <c r="E1178" s="466"/>
      <c r="F1178" s="466"/>
      <c r="G1178" s="466"/>
      <c r="H1178" s="466" t="s">
        <v>127</v>
      </c>
      <c r="I1178" s="466" t="s">
        <v>34</v>
      </c>
      <c r="J1178" s="1025" t="s">
        <v>2515</v>
      </c>
      <c r="K1178" s="744"/>
      <c r="L1178" s="466">
        <v>12</v>
      </c>
      <c r="M1178" s="468" t="s">
        <v>125</v>
      </c>
      <c r="N1178" s="469">
        <f t="shared" si="23"/>
        <v>44044</v>
      </c>
      <c r="O1178" s="489">
        <v>44409</v>
      </c>
      <c r="P1178" s="491" t="s">
        <v>125</v>
      </c>
      <c r="Q1178" s="491" t="s">
        <v>125</v>
      </c>
      <c r="R1178" s="483">
        <v>50000</v>
      </c>
      <c r="S1178" s="470" t="s">
        <v>173</v>
      </c>
      <c r="T1178" s="470" t="s">
        <v>36</v>
      </c>
      <c r="U1178" s="475" t="s">
        <v>59</v>
      </c>
      <c r="V1178" s="475"/>
      <c r="W1178" s="476" t="s">
        <v>41</v>
      </c>
    </row>
    <row r="1179" spans="1:32" ht="82.8">
      <c r="A1179" s="686" t="s">
        <v>43</v>
      </c>
      <c r="B1179" s="626" t="s">
        <v>145</v>
      </c>
      <c r="C1179" s="626" t="s">
        <v>35</v>
      </c>
      <c r="D1179" s="628" t="s">
        <v>29</v>
      </c>
      <c r="E1179" s="628"/>
      <c r="F1179" s="628"/>
      <c r="G1179" s="628"/>
      <c r="H1179" s="628" t="s">
        <v>148</v>
      </c>
      <c r="I1179" s="628" t="s">
        <v>34</v>
      </c>
      <c r="J1179" s="1048" t="s">
        <v>4129</v>
      </c>
      <c r="K1179" s="628" t="s">
        <v>4130</v>
      </c>
      <c r="L1179" s="628">
        <v>2</v>
      </c>
      <c r="M1179" s="663">
        <f>IFERROR(EDATE(N1179,-3),"Invalid procurement method or date entered")</f>
        <v>44256</v>
      </c>
      <c r="N1179" s="630">
        <f>IFERROR(EDATE(O1179,-L1179),"Invalid procurement method or date entered")</f>
        <v>44348</v>
      </c>
      <c r="O1179" s="631">
        <v>44409</v>
      </c>
      <c r="P1179" s="654">
        <v>12</v>
      </c>
      <c r="Q1179" s="654">
        <v>12</v>
      </c>
      <c r="R1179" s="653">
        <v>199000</v>
      </c>
      <c r="S1179" s="646" t="s">
        <v>35</v>
      </c>
      <c r="T1179" s="628" t="s">
        <v>41</v>
      </c>
      <c r="U1179" s="629" t="s">
        <v>4131</v>
      </c>
      <c r="V1179" s="629"/>
      <c r="W1179" s="628" t="s">
        <v>512</v>
      </c>
      <c r="X1179" s="669" t="s">
        <v>184</v>
      </c>
      <c r="Y1179" s="669" t="s">
        <v>457</v>
      </c>
      <c r="Z1179" s="669" t="s">
        <v>40</v>
      </c>
      <c r="AA1179" s="830" t="s">
        <v>41</v>
      </c>
      <c r="AB1179" s="993">
        <v>44875</v>
      </c>
      <c r="AC1179" s="850" t="s">
        <v>4132</v>
      </c>
      <c r="AD1179" s="698"/>
      <c r="AE1179" s="698"/>
      <c r="AF1179" s="691"/>
    </row>
    <row r="1180" spans="1:32" ht="52.8">
      <c r="A1180" s="852"/>
      <c r="B1180" s="520" t="s">
        <v>48</v>
      </c>
      <c r="C1180" s="466" t="s">
        <v>2359</v>
      </c>
      <c r="D1180" s="466" t="s">
        <v>60</v>
      </c>
      <c r="E1180" s="466"/>
      <c r="F1180" s="466"/>
      <c r="G1180" s="466"/>
      <c r="H1180" s="466" t="s">
        <v>127</v>
      </c>
      <c r="I1180" s="474" t="s">
        <v>34</v>
      </c>
      <c r="J1180" s="1024" t="s">
        <v>2360</v>
      </c>
      <c r="K1180" s="467"/>
      <c r="L1180" s="466">
        <v>3</v>
      </c>
      <c r="M1180" s="469">
        <f>IF(O1180="tbc","",(IFERROR(EDATE($N1180,-3),"Invalid procurement method or date entered")))</f>
        <v>44229</v>
      </c>
      <c r="N1180" s="469">
        <f>IF(O1180="tbc","",(IFERROR(EDATE(O1180,-L1180),"Invalid procurement method or date entered")))</f>
        <v>44318</v>
      </c>
      <c r="O1180" s="470">
        <v>44410</v>
      </c>
      <c r="P1180" s="471">
        <v>1</v>
      </c>
      <c r="Q1180" s="474">
        <v>1</v>
      </c>
      <c r="R1180" s="483">
        <v>40000</v>
      </c>
      <c r="S1180" s="470" t="s">
        <v>163</v>
      </c>
      <c r="T1180" s="470" t="s">
        <v>36</v>
      </c>
      <c r="U1180" s="466" t="s">
        <v>125</v>
      </c>
      <c r="V1180" s="466"/>
      <c r="W1180" s="466"/>
    </row>
    <row r="1181" spans="1:32" ht="52.8">
      <c r="A1181" s="852"/>
      <c r="B1181" s="520" t="s">
        <v>48</v>
      </c>
      <c r="C1181" s="465" t="s">
        <v>2412</v>
      </c>
      <c r="D1181" s="466" t="s">
        <v>60</v>
      </c>
      <c r="E1181" s="466"/>
      <c r="F1181" s="466"/>
      <c r="G1181" s="466"/>
      <c r="H1181" s="466" t="s">
        <v>127</v>
      </c>
      <c r="I1181" s="474" t="s">
        <v>34</v>
      </c>
      <c r="J1181" s="1024" t="s">
        <v>2413</v>
      </c>
      <c r="K1181" s="467"/>
      <c r="L1181" s="466">
        <v>12</v>
      </c>
      <c r="M1181" s="469">
        <f>IF(O1181="tbc","",(IFERROR(EDATE($N1181,-3),"Invalid procurement method or date entered")))</f>
        <v>43953</v>
      </c>
      <c r="N1181" s="469">
        <f>IF(O1181="tbc","",(IFERROR(EDATE(O1181,-L1181),"Invalid procurement method or date entered")))</f>
        <v>44045</v>
      </c>
      <c r="O1181" s="470">
        <v>44410</v>
      </c>
      <c r="P1181" s="471">
        <v>48</v>
      </c>
      <c r="Q1181" s="471">
        <v>48</v>
      </c>
      <c r="R1181" s="483">
        <v>300000000</v>
      </c>
      <c r="S1181" s="470" t="s">
        <v>98</v>
      </c>
      <c r="T1181" s="470" t="s">
        <v>144</v>
      </c>
      <c r="U1181" s="470" t="s">
        <v>125</v>
      </c>
      <c r="V1181" s="470"/>
      <c r="W1181" s="600"/>
    </row>
    <row r="1182" spans="1:32" ht="15.6">
      <c r="A1182" s="1061">
        <v>44974</v>
      </c>
      <c r="B1182" s="1066" t="s">
        <v>210</v>
      </c>
      <c r="C1182" s="1072" t="s">
        <v>4133</v>
      </c>
      <c r="D1182" s="1072" t="s">
        <v>209</v>
      </c>
      <c r="E1182" s="1066" t="s">
        <v>210</v>
      </c>
      <c r="F1182" s="1066" t="s">
        <v>190</v>
      </c>
      <c r="G1182" s="1066" t="s">
        <v>190</v>
      </c>
      <c r="H1182" s="1066" t="s">
        <v>190</v>
      </c>
      <c r="I1182" s="1066" t="s">
        <v>190</v>
      </c>
      <c r="J1182" s="1095" t="s">
        <v>4134</v>
      </c>
      <c r="K1182" s="1072" t="s">
        <v>4135</v>
      </c>
      <c r="L1182" s="1066" t="s">
        <v>190</v>
      </c>
      <c r="M1182" s="1066" t="s">
        <v>190</v>
      </c>
      <c r="N1182" s="1066" t="s">
        <v>190</v>
      </c>
      <c r="O1182" s="1142">
        <v>44410</v>
      </c>
      <c r="P1182" s="1142">
        <v>44501</v>
      </c>
      <c r="Q1182" s="1072" t="s">
        <v>100</v>
      </c>
      <c r="R1182" s="1176">
        <v>19333</v>
      </c>
      <c r="S1182" s="1072" t="s">
        <v>158</v>
      </c>
      <c r="T1182" s="1066" t="s">
        <v>190</v>
      </c>
      <c r="U1182" s="1066" t="s">
        <v>190</v>
      </c>
      <c r="V1182" s="1066"/>
      <c r="W1182" s="1072" t="s">
        <v>1169</v>
      </c>
      <c r="X1182" s="1116" t="s">
        <v>1346</v>
      </c>
      <c r="Y1182" s="1116" t="s">
        <v>1266</v>
      </c>
      <c r="Z1182" s="1068" t="s">
        <v>190</v>
      </c>
      <c r="AA1182" s="1068" t="s">
        <v>190</v>
      </c>
      <c r="AB1182" s="1068" t="s">
        <v>190</v>
      </c>
      <c r="AC1182" s="694" t="s">
        <v>4136</v>
      </c>
      <c r="AD1182" s="1068" t="s">
        <v>190</v>
      </c>
      <c r="AE1182" s="1193">
        <v>19333</v>
      </c>
    </row>
    <row r="1183" spans="1:32" ht="259.2">
      <c r="A1183" s="1363"/>
      <c r="B1183" s="114"/>
      <c r="C1183" s="4" t="s">
        <v>1099</v>
      </c>
      <c r="D1183" s="9" t="s">
        <v>29</v>
      </c>
      <c r="E1183" s="9"/>
      <c r="F1183" s="9"/>
      <c r="G1183" s="9"/>
      <c r="H1183" s="5" t="s">
        <v>70</v>
      </c>
      <c r="I1183" s="5" t="s">
        <v>64</v>
      </c>
      <c r="J1183" s="16" t="s">
        <v>539</v>
      </c>
      <c r="K1183" s="16"/>
      <c r="L1183" s="16"/>
      <c r="M1183" s="176">
        <v>44136</v>
      </c>
      <c r="N1183" s="176"/>
      <c r="O1183" s="176">
        <v>44414</v>
      </c>
      <c r="P1183" s="12">
        <v>60</v>
      </c>
      <c r="Q1183" s="7" t="s">
        <v>4137</v>
      </c>
      <c r="R1183" s="18">
        <v>993867</v>
      </c>
      <c r="S1183" s="5" t="s">
        <v>66</v>
      </c>
      <c r="T1183" s="49" t="s">
        <v>41</v>
      </c>
      <c r="U1183" s="45" t="s">
        <v>35</v>
      </c>
      <c r="V1183" s="45"/>
      <c r="W1183" s="5" t="s">
        <v>541</v>
      </c>
      <c r="X1183" s="1342" t="s">
        <v>1088</v>
      </c>
      <c r="Y1183" s="74" t="s">
        <v>457</v>
      </c>
      <c r="Z1183" s="74"/>
      <c r="AA1183" s="74"/>
      <c r="AB1183" s="316" t="s">
        <v>3429</v>
      </c>
      <c r="AC1183" s="847" t="s">
        <v>4138</v>
      </c>
      <c r="AD1183" s="70" t="s">
        <v>1244</v>
      </c>
      <c r="AE1183" s="306">
        <v>331289</v>
      </c>
    </row>
    <row r="1184" spans="1:32" ht="72">
      <c r="A1184" s="1363"/>
      <c r="B1184" s="4"/>
      <c r="C1184" s="4" t="s">
        <v>4139</v>
      </c>
      <c r="D1184" s="5" t="s">
        <v>29</v>
      </c>
      <c r="E1184" s="5"/>
      <c r="F1184" s="5"/>
      <c r="G1184" s="5"/>
      <c r="H1184" s="5" t="s">
        <v>70</v>
      </c>
      <c r="I1184" s="261" t="s">
        <v>34</v>
      </c>
      <c r="J1184" s="16" t="s">
        <v>4140</v>
      </c>
      <c r="K1184" s="8"/>
      <c r="L1184" s="5" t="e">
        <f>IF(OR(S1184=#REF!,S1184=#REF!,S1184=#REF!,S1184=#REF!,S1184=#REF!,S1184=#REF!,S1184=#REF!,S1184=#REF!),12,IF(OR(S1184=#REF!,S1184=#REF!,S1184=#REF!,S1184=#REF!,S1184=#REF!,S1184=#REF!,S1184=#REF!),3,IF(S1184=#REF!,1,IF(S1184=#REF!,18,IF(OR(S1184=#REF!,S1184=#REF!,S1184=#REF!,S1184=#REF!,S1184=#REF!),14,"Invalid proposed procurement method")))))</f>
        <v>#REF!</v>
      </c>
      <c r="M1184" s="193" t="str">
        <f>IFERROR(EDATE($N1184,-3),"Invalid procurement method or date entered")</f>
        <v>Invalid procurement method or date entered</v>
      </c>
      <c r="N1184" s="193" t="str">
        <f>IFERROR(EDATE(O1184,-L1184),"Invalid procurement method or date entered")</f>
        <v>Invalid procurement method or date entered</v>
      </c>
      <c r="O1184" s="193">
        <v>44414</v>
      </c>
      <c r="P1184" s="5">
        <v>20</v>
      </c>
      <c r="Q1184" s="5">
        <v>20</v>
      </c>
      <c r="R1184" s="39">
        <v>160000</v>
      </c>
      <c r="S1184" s="5" t="s">
        <v>173</v>
      </c>
      <c r="T1184" s="49" t="s">
        <v>41</v>
      </c>
      <c r="U1184" s="203">
        <v>44362</v>
      </c>
      <c r="V1184" s="203"/>
      <c r="W1184" s="5" t="s">
        <v>1013</v>
      </c>
      <c r="X1184" s="74" t="s">
        <v>1053</v>
      </c>
      <c r="Y1184" s="74" t="s">
        <v>457</v>
      </c>
      <c r="Z1184" s="74" t="s">
        <v>40</v>
      </c>
      <c r="AA1184" s="70" t="s">
        <v>41</v>
      </c>
      <c r="AB1184" s="316" t="s">
        <v>1253</v>
      </c>
      <c r="AC1184" s="846" t="s">
        <v>1246</v>
      </c>
      <c r="AD1184" s="74" t="s">
        <v>96</v>
      </c>
      <c r="AE1184" s="875">
        <v>150000</v>
      </c>
    </row>
    <row r="1185" spans="1:31" ht="39.6">
      <c r="A1185" s="852"/>
      <c r="B1185" s="520" t="s">
        <v>48</v>
      </c>
      <c r="C1185" s="466" t="s">
        <v>2418</v>
      </c>
      <c r="D1185" s="465" t="s">
        <v>48</v>
      </c>
      <c r="E1185" s="465"/>
      <c r="F1185" s="465"/>
      <c r="G1185" s="465"/>
      <c r="H1185" s="466" t="s">
        <v>60</v>
      </c>
      <c r="I1185" s="466"/>
      <c r="J1185" s="1024" t="s">
        <v>2419</v>
      </c>
      <c r="K1185" s="467"/>
      <c r="L1185" s="466">
        <v>3</v>
      </c>
      <c r="M1185" s="469">
        <f>IF(O1185="tbc","",(IFERROR(EDATE($N1185,-3),"Invalid procurement method or date entered")))</f>
        <v>44234</v>
      </c>
      <c r="N1185" s="469">
        <f>IF(O1185="tbc","",(IFERROR(EDATE(O1185,-L1185),"Invalid procurement method or date entered")))</f>
        <v>44323</v>
      </c>
      <c r="O1185" s="470">
        <v>44415</v>
      </c>
      <c r="P1185" s="471" t="s">
        <v>125</v>
      </c>
      <c r="Q1185" s="474" t="s">
        <v>125</v>
      </c>
      <c r="R1185" s="483">
        <v>30000</v>
      </c>
      <c r="S1185" s="470" t="s">
        <v>163</v>
      </c>
      <c r="T1185" s="470" t="s">
        <v>36</v>
      </c>
      <c r="U1185" s="466" t="s">
        <v>125</v>
      </c>
      <c r="V1185" s="466"/>
      <c r="W1185" s="466" t="s">
        <v>2190</v>
      </c>
    </row>
    <row r="1186" spans="1:31" ht="72">
      <c r="A1186" s="888"/>
      <c r="B1186" s="1347"/>
      <c r="C1186" s="4" t="s">
        <v>608</v>
      </c>
      <c r="D1186" s="5" t="s">
        <v>29</v>
      </c>
      <c r="E1186" s="5"/>
      <c r="F1186" s="5"/>
      <c r="G1186" s="5"/>
      <c r="H1186" s="5" t="s">
        <v>609</v>
      </c>
      <c r="I1186" s="5" t="s">
        <v>34</v>
      </c>
      <c r="J1186" s="16" t="s">
        <v>610</v>
      </c>
      <c r="K1186" s="8"/>
      <c r="L1186" s="5" t="e">
        <f>IF(OR(S1186=#REF!,S1186=#REF!,S1186=#REF!,S1186=#REF!,S1186=#REF!,S1186=#REF!,S1186=#REF!,S1186=#REF!),12,IF(OR(S1186=#REF!,S1186=#REF!,S1186=#REF!,S1186=#REF!,S1186=#REF!,S1186=#REF!,S1186=#REF!),3,IF(S1186=#REF!,1,IF(S1186=#REF!,18,IF(OR(S1186=#REF!,S1186=#REF!,S1186=#REF!,S1186=#REF!,S1186=#REF!),14,"Invalid proposed procurement method")))))</f>
        <v>#REF!</v>
      </c>
      <c r="M1186" s="193">
        <v>44378</v>
      </c>
      <c r="N1186" s="193" t="str">
        <f>IFERROR(EDATE(O1186,-L1186),"Invalid procurement method or date entered")</f>
        <v>Invalid procurement method or date entered</v>
      </c>
      <c r="O1186" s="193">
        <v>44417</v>
      </c>
      <c r="P1186" s="5">
        <v>48</v>
      </c>
      <c r="Q1186" s="5" t="s">
        <v>191</v>
      </c>
      <c r="R1186" s="1010">
        <v>580000</v>
      </c>
      <c r="S1186" s="5" t="s">
        <v>109</v>
      </c>
      <c r="T1186" s="11" t="s">
        <v>144</v>
      </c>
      <c r="U1186" s="12">
        <v>44406</v>
      </c>
      <c r="V1186" s="12"/>
      <c r="W1186" s="5" t="s">
        <v>89</v>
      </c>
      <c r="X1186" s="74" t="s">
        <v>90</v>
      </c>
      <c r="Y1186" s="74" t="s">
        <v>457</v>
      </c>
      <c r="Z1186" s="74"/>
      <c r="AA1186" s="74" t="s">
        <v>54</v>
      </c>
      <c r="AB1186" s="316" t="s">
        <v>1253</v>
      </c>
      <c r="AC1186" s="846" t="s">
        <v>4141</v>
      </c>
      <c r="AD1186" s="74" t="s">
        <v>609</v>
      </c>
      <c r="AE1186">
        <v>145000</v>
      </c>
    </row>
    <row r="1187" spans="1:31" ht="26.4">
      <c r="A1187" s="852"/>
      <c r="B1187" s="520" t="s">
        <v>48</v>
      </c>
      <c r="C1187" s="465" t="s">
        <v>2424</v>
      </c>
      <c r="D1187" s="465" t="s">
        <v>48</v>
      </c>
      <c r="E1187" s="465"/>
      <c r="F1187" s="465"/>
      <c r="G1187" s="465"/>
      <c r="H1187" s="466" t="s">
        <v>60</v>
      </c>
      <c r="I1187" s="466"/>
      <c r="J1187" s="1025" t="s">
        <v>2425</v>
      </c>
      <c r="K1187" s="488"/>
      <c r="L1187" s="466">
        <v>1</v>
      </c>
      <c r="M1187" s="469">
        <f>IF(O1187="tbc","",(IFERROR(EDATE($N1187,-3),"Invalid procurement method or date entered")))</f>
        <v>44295</v>
      </c>
      <c r="N1187" s="469">
        <f>IF(O1187="tbc","",(IFERROR(EDATE(O1187,-L1187),"Invalid procurement method or date entered")))</f>
        <v>44386</v>
      </c>
      <c r="O1187" s="489">
        <v>44417</v>
      </c>
      <c r="P1187" s="490">
        <v>1</v>
      </c>
      <c r="Q1187" s="490">
        <v>1</v>
      </c>
      <c r="R1187" s="483">
        <v>30000</v>
      </c>
      <c r="S1187" s="470" t="s">
        <v>163</v>
      </c>
      <c r="T1187" s="470" t="s">
        <v>36</v>
      </c>
      <c r="U1187" s="470" t="s">
        <v>125</v>
      </c>
      <c r="V1187" s="470"/>
      <c r="W1187" s="465" t="s">
        <v>2190</v>
      </c>
    </row>
    <row r="1188" spans="1:31" ht="52.8">
      <c r="A1188" s="852"/>
      <c r="B1188" s="520" t="s">
        <v>48</v>
      </c>
      <c r="C1188" s="465" t="s">
        <v>125</v>
      </c>
      <c r="D1188" s="466" t="s">
        <v>60</v>
      </c>
      <c r="E1188" s="466"/>
      <c r="F1188" s="466"/>
      <c r="G1188" s="466"/>
      <c r="H1188" s="466" t="s">
        <v>127</v>
      </c>
      <c r="I1188" s="465" t="s">
        <v>34</v>
      </c>
      <c r="J1188" s="1025" t="s">
        <v>2450</v>
      </c>
      <c r="K1188" s="484"/>
      <c r="L1188" s="466">
        <v>3</v>
      </c>
      <c r="M1188" s="469">
        <f>IF(O1188="tbc","",(IFERROR(EDATE($N1188,-3),"Invalid procurement method or date entered")))</f>
        <v>44239</v>
      </c>
      <c r="N1188" s="469">
        <f>IF(O1188="tbc","",(IFERROR(EDATE(O1188,-L1188),"Invalid procurement method or date entered")))</f>
        <v>44328</v>
      </c>
      <c r="O1188" s="489">
        <v>44420</v>
      </c>
      <c r="P1188" s="490">
        <v>1</v>
      </c>
      <c r="Q1188" s="490">
        <v>1</v>
      </c>
      <c r="R1188" s="483">
        <v>25000</v>
      </c>
      <c r="S1188" s="470" t="s">
        <v>163</v>
      </c>
      <c r="T1188" s="470" t="s">
        <v>36</v>
      </c>
      <c r="U1188" s="470" t="s">
        <v>125</v>
      </c>
      <c r="V1188" s="470"/>
      <c r="W1188" s="465" t="s">
        <v>2190</v>
      </c>
    </row>
    <row r="1189" spans="1:31" ht="52.8">
      <c r="A1189" s="852"/>
      <c r="B1189" s="520" t="s">
        <v>48</v>
      </c>
      <c r="C1189" s="466" t="s">
        <v>2401</v>
      </c>
      <c r="D1189" s="466" t="s">
        <v>60</v>
      </c>
      <c r="E1189" s="466"/>
      <c r="F1189" s="466"/>
      <c r="G1189" s="466"/>
      <c r="H1189" s="466" t="s">
        <v>127</v>
      </c>
      <c r="I1189" s="474" t="s">
        <v>34</v>
      </c>
      <c r="J1189" s="1024" t="s">
        <v>2402</v>
      </c>
      <c r="K1189" s="467"/>
      <c r="L1189" s="466">
        <v>3</v>
      </c>
      <c r="M1189" s="469">
        <f>IF(O1189="tbc","",(IFERROR(EDATE($N1189,-3),"Invalid procurement method or date entered")))</f>
        <v>44241</v>
      </c>
      <c r="N1189" s="469">
        <f>IF(O1189="tbc","",(IFERROR(EDATE(O1189,-L1189),"Invalid procurement method or date entered")))</f>
        <v>44330</v>
      </c>
      <c r="O1189" s="470">
        <v>44422</v>
      </c>
      <c r="P1189" s="471">
        <v>2</v>
      </c>
      <c r="Q1189" s="482">
        <v>2</v>
      </c>
      <c r="R1189" s="483">
        <v>30000</v>
      </c>
      <c r="S1189" s="470" t="s">
        <v>163</v>
      </c>
      <c r="T1189" s="470" t="s">
        <v>36</v>
      </c>
      <c r="U1189" s="466" t="s">
        <v>125</v>
      </c>
      <c r="V1189" s="466"/>
      <c r="W1189" s="465"/>
    </row>
    <row r="1190" spans="1:31" ht="39.6">
      <c r="A1190" s="852"/>
      <c r="B1190" s="520" t="s">
        <v>48</v>
      </c>
      <c r="C1190" s="465" t="s">
        <v>2422</v>
      </c>
      <c r="D1190" s="465" t="s">
        <v>48</v>
      </c>
      <c r="E1190" s="465"/>
      <c r="F1190" s="465"/>
      <c r="G1190" s="465"/>
      <c r="H1190" s="466" t="s">
        <v>60</v>
      </c>
      <c r="I1190" s="466"/>
      <c r="J1190" s="549" t="s">
        <v>2423</v>
      </c>
      <c r="K1190" s="484"/>
      <c r="L1190" s="466">
        <v>3</v>
      </c>
      <c r="M1190" s="469">
        <f>IF(O1190="tbc","",(IFERROR(EDATE($N1190,-3),"Invalid procurement method or date entered")))</f>
        <v>44241</v>
      </c>
      <c r="N1190" s="469">
        <f>IF(O1190="tbc","",(IFERROR(EDATE(O1190,-L1190),"Invalid procurement method or date entered")))</f>
        <v>44330</v>
      </c>
      <c r="O1190" s="469">
        <v>44422</v>
      </c>
      <c r="P1190" s="491">
        <v>1</v>
      </c>
      <c r="Q1190" s="491">
        <v>1</v>
      </c>
      <c r="R1190" s="493">
        <v>30000</v>
      </c>
      <c r="S1190" s="470" t="s">
        <v>163</v>
      </c>
      <c r="T1190" s="491" t="s">
        <v>465</v>
      </c>
      <c r="U1190" s="469" t="s">
        <v>43</v>
      </c>
      <c r="V1190" s="469"/>
      <c r="W1190" s="466" t="s">
        <v>2190</v>
      </c>
    </row>
    <row r="1191" spans="1:31" ht="43.2">
      <c r="A1191" s="1363"/>
      <c r="B1191" s="1351"/>
      <c r="C1191" s="4" t="s">
        <v>35</v>
      </c>
      <c r="D1191" s="9" t="s">
        <v>29</v>
      </c>
      <c r="E1191" s="9"/>
      <c r="F1191" s="9"/>
      <c r="G1191" s="9"/>
      <c r="H1191" s="5" t="s">
        <v>70</v>
      </c>
      <c r="I1191" s="5" t="s">
        <v>34</v>
      </c>
      <c r="J1191" s="16" t="s">
        <v>4142</v>
      </c>
      <c r="K1191" s="16"/>
      <c r="L1191" s="5">
        <v>3</v>
      </c>
      <c r="M1191" s="193">
        <f>IFERROR(EDATE($N1191,-3),"Invalid procurement method or date entered")</f>
        <v>44247</v>
      </c>
      <c r="N1191" s="193">
        <f>IFERROR(EDATE(O1191,-L1191),"Invalid procurement method or date entered")</f>
        <v>44336</v>
      </c>
      <c r="O1191" s="176">
        <v>44428</v>
      </c>
      <c r="P1191" s="12" t="s">
        <v>35</v>
      </c>
      <c r="Q1191" s="5" t="s">
        <v>35</v>
      </c>
      <c r="R1191" s="18">
        <v>19134.96</v>
      </c>
      <c r="S1191" s="5" t="s">
        <v>909</v>
      </c>
      <c r="T1191" s="5" t="s">
        <v>110</v>
      </c>
      <c r="U1191" s="12" t="s">
        <v>37</v>
      </c>
      <c r="V1191" s="12"/>
      <c r="W1191" s="5" t="s">
        <v>113</v>
      </c>
      <c r="X1191" s="449" t="s">
        <v>73</v>
      </c>
      <c r="Y1191" s="74" t="s">
        <v>59</v>
      </c>
      <c r="Z1191" s="74" t="s">
        <v>95</v>
      </c>
      <c r="AA1191" s="74" t="s">
        <v>41</v>
      </c>
      <c r="AB1191" s="316" t="s">
        <v>1269</v>
      </c>
      <c r="AC1191" s="95" t="s">
        <v>4143</v>
      </c>
      <c r="AD1191" s="74" t="s">
        <v>114</v>
      </c>
      <c r="AE1191" s="204">
        <v>19135</v>
      </c>
    </row>
    <row r="1192" spans="1:31" ht="39.6">
      <c r="A1192" s="852"/>
      <c r="B1192" s="520" t="s">
        <v>48</v>
      </c>
      <c r="C1192" s="465" t="s">
        <v>2399</v>
      </c>
      <c r="D1192" s="466" t="s">
        <v>82</v>
      </c>
      <c r="E1192" s="466"/>
      <c r="F1192" s="466"/>
      <c r="G1192" s="466"/>
      <c r="H1192" s="466" t="s">
        <v>49</v>
      </c>
      <c r="I1192" s="465" t="s">
        <v>34</v>
      </c>
      <c r="J1192" s="1025" t="s">
        <v>2400</v>
      </c>
      <c r="K1192" s="488"/>
      <c r="L1192" s="466">
        <v>12</v>
      </c>
      <c r="M1192" s="469">
        <f>IF(O1192="tbc","",(IFERROR(EDATE($N1192,-3),"Invalid procurement method or date entered")))</f>
        <v>43972</v>
      </c>
      <c r="N1192" s="469">
        <f>IF(O1192="tbc","",(IFERROR(EDATE(O1192,-L1192),"Invalid procurement method or date entered")))</f>
        <v>44064</v>
      </c>
      <c r="O1192" s="489">
        <v>44429</v>
      </c>
      <c r="P1192" s="490">
        <v>1</v>
      </c>
      <c r="Q1192" s="490">
        <v>1</v>
      </c>
      <c r="R1192" s="483">
        <v>50000</v>
      </c>
      <c r="S1192" s="470" t="s">
        <v>109</v>
      </c>
      <c r="T1192" s="470" t="s">
        <v>36</v>
      </c>
      <c r="U1192" s="470" t="s">
        <v>125</v>
      </c>
      <c r="V1192" s="470"/>
      <c r="W1192" s="577"/>
    </row>
    <row r="1193" spans="1:31" ht="52.8">
      <c r="A1193" s="852"/>
      <c r="B1193" s="520" t="s">
        <v>48</v>
      </c>
      <c r="C1193" s="465" t="s">
        <v>2395</v>
      </c>
      <c r="D1193" s="466" t="s">
        <v>29</v>
      </c>
      <c r="E1193" s="466"/>
      <c r="F1193" s="466"/>
      <c r="G1193" s="466"/>
      <c r="H1193" s="466" t="s">
        <v>49</v>
      </c>
      <c r="I1193" s="466" t="s">
        <v>34</v>
      </c>
      <c r="J1193" s="1025" t="s">
        <v>2396</v>
      </c>
      <c r="K1193" s="488"/>
      <c r="L1193" s="466">
        <v>12</v>
      </c>
      <c r="M1193" s="469">
        <f>IF(O1193="tbc","",(IFERROR(EDATE($N1193,-3),"Invalid procurement method or date entered")))</f>
        <v>43974</v>
      </c>
      <c r="N1193" s="469">
        <f>IF(O1193="tbc","",(IFERROR(EDATE(O1193,-L1193),"Invalid procurement method or date entered")))</f>
        <v>44066</v>
      </c>
      <c r="O1193" s="489">
        <v>44431</v>
      </c>
      <c r="P1193" s="491" t="s">
        <v>125</v>
      </c>
      <c r="Q1193" s="491" t="s">
        <v>125</v>
      </c>
      <c r="R1193" s="483">
        <v>250000</v>
      </c>
      <c r="S1193" s="470" t="s">
        <v>173</v>
      </c>
      <c r="T1193" s="470" t="s">
        <v>144</v>
      </c>
      <c r="U1193" s="470" t="s">
        <v>125</v>
      </c>
      <c r="V1193" s="470"/>
      <c r="W1193" s="466" t="s">
        <v>2190</v>
      </c>
    </row>
    <row r="1194" spans="1:31" ht="52.8">
      <c r="A1194" s="852"/>
      <c r="B1194" s="520" t="s">
        <v>48</v>
      </c>
      <c r="C1194" s="465" t="s">
        <v>2448</v>
      </c>
      <c r="D1194" s="466" t="s">
        <v>29</v>
      </c>
      <c r="E1194" s="466"/>
      <c r="F1194" s="466"/>
      <c r="G1194" s="466"/>
      <c r="H1194" s="466" t="s">
        <v>49</v>
      </c>
      <c r="I1194" s="466" t="s">
        <v>34</v>
      </c>
      <c r="J1194" s="1025" t="s">
        <v>2449</v>
      </c>
      <c r="K1194" s="484"/>
      <c r="L1194" s="466">
        <v>12</v>
      </c>
      <c r="M1194" s="469">
        <f>IF(O1194="tbc","",(IFERROR(EDATE($N1194,-3),"Invalid procurement method or date entered")))</f>
        <v>43974</v>
      </c>
      <c r="N1194" s="469">
        <f>IF(O1194="tbc","",(IFERROR(EDATE(O1194,-L1194),"Invalid procurement method or date entered")))</f>
        <v>44066</v>
      </c>
      <c r="O1194" s="489">
        <v>44431</v>
      </c>
      <c r="P1194" s="491" t="s">
        <v>125</v>
      </c>
      <c r="Q1194" s="491" t="s">
        <v>125</v>
      </c>
      <c r="R1194" s="483">
        <v>255000</v>
      </c>
      <c r="S1194" s="470" t="s">
        <v>173</v>
      </c>
      <c r="T1194" s="470" t="s">
        <v>144</v>
      </c>
      <c r="U1194" s="470" t="s">
        <v>125</v>
      </c>
      <c r="V1194" s="470"/>
      <c r="W1194" s="466" t="s">
        <v>2190</v>
      </c>
    </row>
    <row r="1195" spans="1:31" ht="66">
      <c r="A1195" s="852"/>
      <c r="B1195" s="520" t="s">
        <v>48</v>
      </c>
      <c r="C1195" s="465" t="s">
        <v>2502</v>
      </c>
      <c r="D1195" s="466" t="s">
        <v>214</v>
      </c>
      <c r="E1195" s="466"/>
      <c r="F1195" s="466"/>
      <c r="G1195" s="466"/>
      <c r="H1195" s="466" t="s">
        <v>127</v>
      </c>
      <c r="I1195" s="465" t="s">
        <v>34</v>
      </c>
      <c r="J1195" s="1040" t="s">
        <v>2503</v>
      </c>
      <c r="K1195" s="745"/>
      <c r="L1195" s="466">
        <v>2</v>
      </c>
      <c r="M1195" s="514">
        <f>IF(O1195="tbc","",(IFERROR(EDATE($N1195,-3),"Invalid procurement method or date entered")))</f>
        <v>44278</v>
      </c>
      <c r="N1195" s="469">
        <f>IF(O1195="tbc","",(IFERROR(EDATE(O1195,-L1195),"Invalid procurement method or date entered")))</f>
        <v>44370</v>
      </c>
      <c r="O1195" s="516">
        <v>44431</v>
      </c>
      <c r="P1195" s="490" t="s">
        <v>125</v>
      </c>
      <c r="Q1195" s="490" t="s">
        <v>125</v>
      </c>
      <c r="R1195" s="518">
        <v>190000</v>
      </c>
      <c r="S1195" s="470" t="s">
        <v>129</v>
      </c>
      <c r="T1195" s="470" t="s">
        <v>36</v>
      </c>
      <c r="U1195" s="470" t="s">
        <v>125</v>
      </c>
      <c r="V1195" s="470"/>
      <c r="W1195" s="476" t="s">
        <v>41</v>
      </c>
    </row>
    <row r="1196" spans="1:31" ht="79.2">
      <c r="A1196" s="852"/>
      <c r="B1196" s="520" t="s">
        <v>48</v>
      </c>
      <c r="C1196" s="465" t="s">
        <v>35</v>
      </c>
      <c r="D1196" s="465" t="s">
        <v>48</v>
      </c>
      <c r="E1196" s="465"/>
      <c r="F1196" s="465"/>
      <c r="G1196" s="465"/>
      <c r="H1196" s="466" t="s">
        <v>60</v>
      </c>
      <c r="I1196" s="474" t="s">
        <v>34</v>
      </c>
      <c r="J1196" s="549" t="s">
        <v>2439</v>
      </c>
      <c r="K1196" s="484"/>
      <c r="L1196" s="466">
        <v>1</v>
      </c>
      <c r="M1196" s="469">
        <f>IF(O1196="tbc","",(IFERROR(EDATE($N1196,-3),"Invalid procurement method or date entered")))</f>
        <v>44314</v>
      </c>
      <c r="N1196" s="469">
        <f>IF(O1196="tbc","",(IFERROR(EDATE(O1196,-L1196),"Invalid procurement method or date entered")))</f>
        <v>44405</v>
      </c>
      <c r="O1196" s="470">
        <v>44436</v>
      </c>
      <c r="P1196" s="491">
        <v>1</v>
      </c>
      <c r="Q1196" s="491">
        <v>1</v>
      </c>
      <c r="R1196" s="493">
        <v>456655</v>
      </c>
      <c r="S1196" s="491" t="s">
        <v>163</v>
      </c>
      <c r="T1196" s="491" t="s">
        <v>144</v>
      </c>
      <c r="U1196" s="469">
        <v>43700</v>
      </c>
      <c r="V1196" s="469"/>
      <c r="W1196" s="513" t="s">
        <v>1304</v>
      </c>
    </row>
    <row r="1197" spans="1:31" ht="72">
      <c r="A1197" s="888"/>
      <c r="B1197" s="1351" t="s">
        <v>28</v>
      </c>
      <c r="C1197" s="16" t="s">
        <v>508</v>
      </c>
      <c r="D1197" s="9" t="s">
        <v>29</v>
      </c>
      <c r="E1197" s="9"/>
      <c r="F1197" s="9"/>
      <c r="G1197" s="9"/>
      <c r="H1197" s="9" t="s">
        <v>70</v>
      </c>
      <c r="I1197" s="9" t="s">
        <v>34</v>
      </c>
      <c r="J1197" s="16" t="s">
        <v>1326</v>
      </c>
      <c r="K1197" s="16"/>
      <c r="L1197" s="5" t="e">
        <f>IF(OR(S1197=#REF!,S1197=#REF!,S1197=#REF!,S1197=#REF!,S1197=#REF!,S1197=#REF!,S1197=#REF!,S1197=#REF!),12,IF(OR(S1197=#REF!,S1197=#REF!,S1197=#REF!,S1197=#REF!,S1197=#REF!,S1197=#REF!,S1197=#REF!),3,IF(S1197=#REF!,1,IF(S1197=#REF!,18,IF(OR(S1197=#REF!,S1197=#REF!,S1197=#REF!,S1197=#REF!,S1197=#REF!),14,"Invalid proposed procurement method")))))</f>
        <v>#REF!</v>
      </c>
      <c r="M1197" s="193" t="str">
        <f>IFERROR(EDATE($N1197,-3),"Invalid procurement method or date entered")</f>
        <v>Invalid procurement method or date entered</v>
      </c>
      <c r="N1197" s="193" t="str">
        <f>IFERROR(EDATE(O1197,-L1197),"Invalid procurement method or date entered")</f>
        <v>Invalid procurement method or date entered</v>
      </c>
      <c r="O1197" s="46">
        <v>44439</v>
      </c>
      <c r="P1197" s="5">
        <v>37</v>
      </c>
      <c r="Q1197" s="193" t="s">
        <v>1366</v>
      </c>
      <c r="R1197" s="18">
        <v>81165</v>
      </c>
      <c r="S1197" s="177" t="s">
        <v>109</v>
      </c>
      <c r="T1197" s="1375" t="s">
        <v>54</v>
      </c>
      <c r="U1197" s="12" t="s">
        <v>37</v>
      </c>
      <c r="V1197" s="12"/>
      <c r="W1197" s="12" t="s">
        <v>1290</v>
      </c>
      <c r="X1197" s="74" t="s">
        <v>219</v>
      </c>
      <c r="Y1197" s="74" t="s">
        <v>457</v>
      </c>
      <c r="Z1197" s="74" t="s">
        <v>80</v>
      </c>
      <c r="AA1197" s="820" t="s">
        <v>54</v>
      </c>
      <c r="AB1197" s="316" t="s">
        <v>1245</v>
      </c>
      <c r="AC1197" s="747" t="s">
        <v>4144</v>
      </c>
      <c r="AD1197" s="74" t="s">
        <v>101</v>
      </c>
      <c r="AE1197" s="306"/>
    </row>
    <row r="1198" spans="1:31" ht="100.8">
      <c r="A1198" s="1369"/>
      <c r="B1198" s="1351" t="s">
        <v>28</v>
      </c>
      <c r="C1198" s="4" t="s">
        <v>4145</v>
      </c>
      <c r="D1198" s="9" t="s">
        <v>29</v>
      </c>
      <c r="E1198" s="9"/>
      <c r="F1198" s="9"/>
      <c r="G1198" s="9"/>
      <c r="H1198" s="5" t="s">
        <v>70</v>
      </c>
      <c r="I1198" s="5" t="s">
        <v>64</v>
      </c>
      <c r="J1198" s="16" t="s">
        <v>786</v>
      </c>
      <c r="K1198" s="16"/>
      <c r="L1198" s="5" t="e">
        <f>IF(OR(S1198=#REF!,S1198=#REF!,S1198=#REF!,S1198=#REF!,S1198=#REF!,S1198=#REF!,S1198=#REF!,S1198=#REF!),12,IF(OR(S1198=#REF!,S1198=#REF!,S1198=#REF!,S1198=#REF!,S1198=#REF!,S1198=#REF!,S1198=#REF!),3,IF(S1198=#REF!,1,IF(S1198=#REF!,18,IF(OR(S1198=#REF!,S1198=#REF!,S1198=#REF!,S1198=#REF!,S1198=#REF!),14,"Invalid proposed procurement method")))))</f>
        <v>#REF!</v>
      </c>
      <c r="M1198" s="193">
        <v>44074</v>
      </c>
      <c r="N1198" s="193">
        <v>44439</v>
      </c>
      <c r="O1198" s="176">
        <v>44439</v>
      </c>
      <c r="P1198" s="12">
        <v>60</v>
      </c>
      <c r="Q1198" s="7" t="s">
        <v>4053</v>
      </c>
      <c r="R1198" s="18">
        <v>7347666.2000000002</v>
      </c>
      <c r="S1198" s="5" t="s">
        <v>46</v>
      </c>
      <c r="T1198" s="49" t="s">
        <v>41</v>
      </c>
      <c r="U1198" s="45" t="s">
        <v>35</v>
      </c>
      <c r="V1198" s="45"/>
      <c r="W1198" s="5" t="s">
        <v>2925</v>
      </c>
      <c r="X1198" s="74" t="s">
        <v>1088</v>
      </c>
      <c r="Y1198" s="74" t="s">
        <v>457</v>
      </c>
      <c r="Z1198" s="74" t="s">
        <v>80</v>
      </c>
      <c r="AA1198" s="74" t="s">
        <v>41</v>
      </c>
      <c r="AB1198" s="316" t="s">
        <v>1263</v>
      </c>
      <c r="AC1198" s="95" t="s">
        <v>4146</v>
      </c>
      <c r="AD1198" s="74" t="s">
        <v>96</v>
      </c>
      <c r="AE1198" s="204">
        <v>1469533</v>
      </c>
    </row>
    <row r="1199" spans="1:31" ht="28.8">
      <c r="A1199" s="1363"/>
      <c r="B1199" s="114"/>
      <c r="C1199" s="4" t="s">
        <v>1298</v>
      </c>
      <c r="D1199" s="9" t="s">
        <v>29</v>
      </c>
      <c r="E1199" s="9"/>
      <c r="F1199" s="9"/>
      <c r="G1199" s="9"/>
      <c r="H1199" s="12" t="s">
        <v>70</v>
      </c>
      <c r="I1199" s="12" t="s">
        <v>64</v>
      </c>
      <c r="J1199" s="16" t="s">
        <v>1051</v>
      </c>
      <c r="K1199" s="16"/>
      <c r="L1199" s="5" t="e">
        <f>IF(OR(S1199=#REF!,S1199=#REF!,S1199=#REF!,S1199=#REF!,S1199=#REF!,S1199=#REF!,S1199=#REF!,S1199=#REF!),12,IF(OR(S1199=#REF!,S1199=#REF!,S1199=#REF!,S1199=#REF!,S1199=#REF!,S1199=#REF!,S1199=#REF!),3,IF(S1199=#REF!,1,IF(S1199=#REF!,18,IF(OR(S1199=#REF!,S1199=#REF!,S1199=#REF!,S1199=#REF!,S1199=#REF!),14,"Invalid proposed procurement method")))))</f>
        <v>#REF!</v>
      </c>
      <c r="M1199" s="193">
        <v>44197</v>
      </c>
      <c r="N1199" s="193">
        <v>44439</v>
      </c>
      <c r="O1199" s="176">
        <v>44439</v>
      </c>
      <c r="P1199" s="12">
        <v>84</v>
      </c>
      <c r="Q1199" s="12" t="s">
        <v>4147</v>
      </c>
      <c r="R1199" s="39">
        <v>34993</v>
      </c>
      <c r="S1199" s="5" t="s">
        <v>66</v>
      </c>
      <c r="T1199" s="5" t="s">
        <v>54</v>
      </c>
      <c r="U1199" s="12" t="s">
        <v>37</v>
      </c>
      <c r="V1199" s="12"/>
      <c r="W1199" s="12" t="s">
        <v>286</v>
      </c>
      <c r="X1199" s="74" t="s">
        <v>1088</v>
      </c>
      <c r="Y1199" s="74" t="s">
        <v>457</v>
      </c>
      <c r="Z1199" s="74" t="s">
        <v>95</v>
      </c>
      <c r="AA1199" s="74" t="s">
        <v>41</v>
      </c>
      <c r="AB1199" s="316" t="s">
        <v>1253</v>
      </c>
      <c r="AC1199" s="846" t="s">
        <v>4148</v>
      </c>
      <c r="AD1199" s="74" t="s">
        <v>85</v>
      </c>
      <c r="AE1199" s="191">
        <v>4999</v>
      </c>
    </row>
    <row r="1200" spans="1:31" ht="28.8">
      <c r="A1200" s="1363"/>
      <c r="B1200" s="1347"/>
      <c r="C1200" s="209" t="s">
        <v>1298</v>
      </c>
      <c r="D1200" s="86" t="s">
        <v>29</v>
      </c>
      <c r="E1200" s="86"/>
      <c r="F1200" s="86"/>
      <c r="G1200" s="86"/>
      <c r="H1200" s="86" t="s">
        <v>70</v>
      </c>
      <c r="I1200" s="86" t="s">
        <v>64</v>
      </c>
      <c r="J1200" s="97" t="s">
        <v>1051</v>
      </c>
      <c r="K1200" s="83"/>
      <c r="L1200" s="86" t="e">
        <f>IF(OR(S1200=#REF!,S1200=#REF!,S1200=#REF!,S1200=#REF!,S1200=#REF!,S1200=#REF!,S1200=#REF!,S1200=#REF!),12,IF(OR(S1200=#REF!,S1200=#REF!,S1200=#REF!,S1200=#REF!,S1200=#REF!,S1200=#REF!,S1200=#REF!),3,IF(S1200=#REF!,1,IF(S1200=#REF!,18,IF(OR(S1200=#REF!,S1200=#REF!,S1200=#REF!,S1200=#REF!,S1200=#REF!),14,"Invalid proposed procurement method")))))</f>
        <v>#REF!</v>
      </c>
      <c r="M1200" s="211">
        <v>44197</v>
      </c>
      <c r="N1200" s="211">
        <v>44439</v>
      </c>
      <c r="O1200" s="211">
        <v>44439</v>
      </c>
      <c r="P1200" s="86">
        <v>84</v>
      </c>
      <c r="Q1200" s="86" t="s">
        <v>4147</v>
      </c>
      <c r="R1200" s="234">
        <v>34993</v>
      </c>
      <c r="S1200" s="86" t="s">
        <v>66</v>
      </c>
      <c r="T1200" s="235" t="s">
        <v>54</v>
      </c>
      <c r="U1200" s="85" t="s">
        <v>37</v>
      </c>
      <c r="V1200" s="85"/>
      <c r="W1200" s="86" t="s">
        <v>286</v>
      </c>
      <c r="X1200" s="824" t="s">
        <v>1088</v>
      </c>
      <c r="Y1200" s="824" t="s">
        <v>457</v>
      </c>
      <c r="Z1200" s="824" t="s">
        <v>95</v>
      </c>
      <c r="AA1200" s="824" t="s">
        <v>41</v>
      </c>
      <c r="AB1200" s="838" t="s">
        <v>1253</v>
      </c>
      <c r="AC1200" s="853" t="s">
        <v>4148</v>
      </c>
      <c r="AD1200" s="824" t="s">
        <v>85</v>
      </c>
      <c r="AE1200">
        <v>4999</v>
      </c>
    </row>
    <row r="1201" spans="1:31" ht="187.2">
      <c r="A1201" s="889"/>
      <c r="B1201" s="114"/>
      <c r="C1201" s="4" t="s">
        <v>4145</v>
      </c>
      <c r="D1201" s="9" t="s">
        <v>29</v>
      </c>
      <c r="E1201" s="9"/>
      <c r="F1201" s="9"/>
      <c r="G1201" s="9"/>
      <c r="H1201" s="5" t="s">
        <v>70</v>
      </c>
      <c r="I1201" s="5" t="s">
        <v>64</v>
      </c>
      <c r="J1201" s="16" t="s">
        <v>786</v>
      </c>
      <c r="K1201" s="16"/>
      <c r="L1201" s="16"/>
      <c r="M1201" s="176">
        <v>43739</v>
      </c>
      <c r="N1201" s="176"/>
      <c r="O1201" s="176">
        <v>44440</v>
      </c>
      <c r="P1201" s="12">
        <v>60</v>
      </c>
      <c r="Q1201" s="7" t="s">
        <v>4149</v>
      </c>
      <c r="R1201" s="18">
        <v>7347666.2000000002</v>
      </c>
      <c r="S1201" s="5" t="s">
        <v>1163</v>
      </c>
      <c r="T1201" s="49" t="s">
        <v>41</v>
      </c>
      <c r="U1201" s="48" t="s">
        <v>35</v>
      </c>
      <c r="V1201" s="48"/>
      <c r="W1201" s="5" t="s">
        <v>2925</v>
      </c>
      <c r="X1201" s="74" t="s">
        <v>1088</v>
      </c>
      <c r="Y1201" s="74" t="s">
        <v>410</v>
      </c>
      <c r="Z1201" s="74"/>
      <c r="AA1201" s="95"/>
      <c r="AB1201" s="316" t="s">
        <v>1082</v>
      </c>
      <c r="AC1201" s="95" t="s">
        <v>4150</v>
      </c>
      <c r="AD1201" s="70" t="s">
        <v>4151</v>
      </c>
      <c r="AE1201" s="306">
        <v>1469533.24</v>
      </c>
    </row>
    <row r="1202" spans="1:31" ht="86.4">
      <c r="A1202" s="852"/>
      <c r="B1202" s="305"/>
      <c r="C1202" s="4"/>
      <c r="D1202" s="9" t="s">
        <v>60</v>
      </c>
      <c r="E1202" s="9"/>
      <c r="F1202" s="9"/>
      <c r="G1202" s="9"/>
      <c r="H1202" s="1335" t="s">
        <v>63</v>
      </c>
      <c r="I1202" s="1330" t="s">
        <v>64</v>
      </c>
      <c r="J1202" s="16" t="s">
        <v>4152</v>
      </c>
      <c r="K1202" s="8"/>
      <c r="L1202" s="8"/>
      <c r="M1202" s="14">
        <v>44013</v>
      </c>
      <c r="N1202" s="14"/>
      <c r="O1202" s="14">
        <v>44440</v>
      </c>
      <c r="P1202" s="12">
        <v>48</v>
      </c>
      <c r="Q1202" s="12" t="s">
        <v>4153</v>
      </c>
      <c r="R1202" s="39">
        <v>9222514.5</v>
      </c>
      <c r="S1202" s="5" t="s">
        <v>66</v>
      </c>
      <c r="T1202" s="1464" t="s">
        <v>41</v>
      </c>
      <c r="U1202" s="1464" t="s">
        <v>35</v>
      </c>
      <c r="V1202" s="1464"/>
      <c r="W1202" s="1330" t="s">
        <v>67</v>
      </c>
      <c r="X1202" s="819" t="s">
        <v>1091</v>
      </c>
      <c r="Y1202" s="74" t="s">
        <v>457</v>
      </c>
      <c r="Z1202" s="74"/>
      <c r="AA1202" s="1356"/>
      <c r="AB1202" s="316" t="s">
        <v>3429</v>
      </c>
      <c r="AC1202" s="848" t="s">
        <v>3687</v>
      </c>
      <c r="AD1202" s="70" t="s">
        <v>63</v>
      </c>
      <c r="AE1202" s="839">
        <v>1844502.9</v>
      </c>
    </row>
    <row r="1203" spans="1:31" ht="72">
      <c r="A1203" s="1364"/>
      <c r="B1203" s="114"/>
      <c r="C1203" s="4" t="s">
        <v>478</v>
      </c>
      <c r="D1203" s="5" t="s">
        <v>29</v>
      </c>
      <c r="E1203" s="5"/>
      <c r="F1203" s="5"/>
      <c r="G1203" s="5"/>
      <c r="H1203" s="5" t="s">
        <v>364</v>
      </c>
      <c r="I1203" s="5" t="s">
        <v>34</v>
      </c>
      <c r="J1203" s="16" t="s">
        <v>479</v>
      </c>
      <c r="K1203" s="16"/>
      <c r="L1203" s="5" t="e">
        <f>IF(OR(S1203=#REF!,S1203=#REF!,S1203=#REF!,S1203=#REF!,S1203=#REF!,S1203=#REF!,S1203=#REF!,S1203=#REF!),12,IF(OR(S1203=#REF!,S1203=#REF!,S1203=#REF!,S1203=#REF!,S1203=#REF!,S1203=#REF!,S1203=#REF!),3,IF(S1203=#REF!,1,IF(S1203=#REF!,18,IF(OR(S1203=#REF!,S1203=#REF!,S1203=#REF!,S1203=#REF!,S1203=#REF!),14,"Invalid proposed procurement method")))))</f>
        <v>#REF!</v>
      </c>
      <c r="M1203" s="193" t="str">
        <f>IFERROR(EDATE($N1203,-3),"Invalid procurement method or date entered")</f>
        <v>Invalid procurement method or date entered</v>
      </c>
      <c r="N1203" s="193" t="str">
        <f t="shared" ref="N1203:N1208" si="24">IFERROR(EDATE(O1203,-L1203),"Invalid procurement method or date entered")</f>
        <v>Invalid procurement method or date entered</v>
      </c>
      <c r="O1203" s="176">
        <v>44440</v>
      </c>
      <c r="P1203" s="1330">
        <v>60</v>
      </c>
      <c r="Q1203" s="12" t="s">
        <v>358</v>
      </c>
      <c r="R1203" s="39">
        <v>230000</v>
      </c>
      <c r="S1203" s="193" t="s">
        <v>217</v>
      </c>
      <c r="T1203" s="50" t="s">
        <v>54</v>
      </c>
      <c r="U1203" s="50" t="s">
        <v>37</v>
      </c>
      <c r="V1203" s="50"/>
      <c r="W1203" s="5" t="s">
        <v>415</v>
      </c>
      <c r="X1203" s="74" t="s">
        <v>94</v>
      </c>
      <c r="Y1203" s="74" t="s">
        <v>457</v>
      </c>
      <c r="Z1203" s="74"/>
      <c r="AA1203" s="74"/>
      <c r="AB1203" s="316" t="s">
        <v>1269</v>
      </c>
      <c r="AC1203" s="1472" t="s">
        <v>3448</v>
      </c>
      <c r="AD1203" s="70" t="s">
        <v>416</v>
      </c>
      <c r="AE1203" s="306"/>
    </row>
    <row r="1204" spans="1:31" ht="57.6">
      <c r="A1204" s="1364"/>
      <c r="B1204" s="1351" t="s">
        <v>28</v>
      </c>
      <c r="C1204" s="4" t="s">
        <v>4154</v>
      </c>
      <c r="D1204" s="5" t="s">
        <v>60</v>
      </c>
      <c r="E1204" s="5"/>
      <c r="F1204" s="5"/>
      <c r="G1204" s="5"/>
      <c r="H1204" s="5" t="s">
        <v>260</v>
      </c>
      <c r="I1204" s="5" t="s">
        <v>34</v>
      </c>
      <c r="J1204" s="16" t="s">
        <v>4155</v>
      </c>
      <c r="K1204" s="8"/>
      <c r="L1204" s="5">
        <v>12</v>
      </c>
      <c r="M1204" s="193">
        <v>44378</v>
      </c>
      <c r="N1204" s="193">
        <f t="shared" si="24"/>
        <v>44075</v>
      </c>
      <c r="O1204" s="193">
        <v>44440</v>
      </c>
      <c r="P1204" s="5">
        <v>60</v>
      </c>
      <c r="Q1204" s="5">
        <v>60</v>
      </c>
      <c r="R1204" s="18">
        <v>395000</v>
      </c>
      <c r="S1204" s="5" t="s">
        <v>46</v>
      </c>
      <c r="T1204" s="5" t="s">
        <v>54</v>
      </c>
      <c r="U1204" s="12" t="s">
        <v>37</v>
      </c>
      <c r="V1204" s="12"/>
      <c r="W1204" s="5" t="s">
        <v>233</v>
      </c>
      <c r="X1204" s="1342" t="s">
        <v>94</v>
      </c>
      <c r="Y1204" s="74" t="s">
        <v>457</v>
      </c>
      <c r="Z1204" s="74"/>
      <c r="AA1204" s="74" t="s">
        <v>41</v>
      </c>
      <c r="AB1204" s="316" t="s">
        <v>1245</v>
      </c>
      <c r="AC1204" s="846" t="s">
        <v>4156</v>
      </c>
      <c r="AD1204" s="70" t="s">
        <v>63</v>
      </c>
      <c r="AE1204" s="204"/>
    </row>
    <row r="1205" spans="1:31" ht="72">
      <c r="A1205" s="888"/>
      <c r="B1205" s="323" t="s">
        <v>145</v>
      </c>
      <c r="C1205" s="351"/>
      <c r="D1205" s="6" t="s">
        <v>92</v>
      </c>
      <c r="E1205" s="6"/>
      <c r="F1205" s="6"/>
      <c r="G1205" s="6"/>
      <c r="H1205" s="6" t="s">
        <v>148</v>
      </c>
      <c r="I1205" s="6" t="s">
        <v>34</v>
      </c>
      <c r="J1205" s="60" t="s">
        <v>4157</v>
      </c>
      <c r="K1205" s="6"/>
      <c r="L1205" s="78">
        <v>14</v>
      </c>
      <c r="M1205" s="394">
        <f>IFERROR(EDATE(N1205,-3),"Invalid procurement method or date entered")</f>
        <v>43922</v>
      </c>
      <c r="N1205" s="346">
        <f t="shared" si="24"/>
        <v>44013</v>
      </c>
      <c r="O1205" s="331">
        <v>44440</v>
      </c>
      <c r="P1205" s="244"/>
      <c r="Q1205" s="244"/>
      <c r="R1205" s="414"/>
      <c r="S1205" s="356" t="s">
        <v>607</v>
      </c>
      <c r="T1205" s="326" t="s">
        <v>41</v>
      </c>
      <c r="U1205" s="326" t="s">
        <v>4158</v>
      </c>
      <c r="V1205" s="326"/>
      <c r="W1205" s="6" t="s">
        <v>4159</v>
      </c>
      <c r="X1205" s="747" t="s">
        <v>254</v>
      </c>
      <c r="Y1205" s="747" t="s">
        <v>39</v>
      </c>
      <c r="Z1205" s="747"/>
      <c r="AA1205" s="369" t="s">
        <v>35</v>
      </c>
      <c r="AB1205" s="837" t="s">
        <v>41</v>
      </c>
      <c r="AC1205" s="448">
        <v>44243</v>
      </c>
      <c r="AD1205" s="448"/>
      <c r="AE1205" s="448"/>
    </row>
    <row r="1206" spans="1:31" ht="28.8">
      <c r="A1206" s="888"/>
      <c r="B1206" s="323" t="s">
        <v>145</v>
      </c>
      <c r="C1206" s="323"/>
      <c r="D1206" s="8" t="s">
        <v>82</v>
      </c>
      <c r="E1206" s="8"/>
      <c r="F1206" s="8"/>
      <c r="G1206" s="8"/>
      <c r="H1206" s="8" t="s">
        <v>148</v>
      </c>
      <c r="I1206" s="8" t="s">
        <v>204</v>
      </c>
      <c r="J1206" s="16" t="s">
        <v>4160</v>
      </c>
      <c r="K1206" s="8"/>
      <c r="L1206" s="413">
        <v>2</v>
      </c>
      <c r="M1206" s="394">
        <f>IFERROR(EDATE(N1206,-3),"Invalid procurement method or date entered")</f>
        <v>44287</v>
      </c>
      <c r="N1206" s="346">
        <f t="shared" si="24"/>
        <v>44378</v>
      </c>
      <c r="O1206" s="328">
        <v>44440</v>
      </c>
      <c r="P1206" s="66" t="s">
        <v>35</v>
      </c>
      <c r="Q1206" s="66" t="s">
        <v>35</v>
      </c>
      <c r="R1206" s="153">
        <v>55000</v>
      </c>
      <c r="S1206" s="153" t="s">
        <v>163</v>
      </c>
      <c r="T1206" s="319" t="s">
        <v>35</v>
      </c>
      <c r="U1206" s="319" t="s">
        <v>35</v>
      </c>
      <c r="V1206" s="319"/>
      <c r="W1206" s="8" t="s">
        <v>3279</v>
      </c>
      <c r="X1206" s="95" t="s">
        <v>1119</v>
      </c>
      <c r="Y1206" s="95"/>
      <c r="Z1206" s="95"/>
      <c r="AA1206" s="828"/>
      <c r="AB1206" s="837"/>
      <c r="AC1206" s="390">
        <v>44323</v>
      </c>
      <c r="AD1206" s="390"/>
      <c r="AE1206" s="390"/>
    </row>
    <row r="1207" spans="1:31" ht="28.8">
      <c r="A1207" s="888"/>
      <c r="B1207" s="194" t="s">
        <v>145</v>
      </c>
      <c r="C1207" s="194" t="s">
        <v>3632</v>
      </c>
      <c r="D1207" s="8" t="s">
        <v>82</v>
      </c>
      <c r="E1207" s="8"/>
      <c r="F1207" s="8"/>
      <c r="G1207" s="8"/>
      <c r="H1207" s="16" t="s">
        <v>316</v>
      </c>
      <c r="I1207" s="16" t="s">
        <v>64</v>
      </c>
      <c r="J1207" s="16" t="s">
        <v>929</v>
      </c>
      <c r="K1207" s="8"/>
      <c r="L1207" s="5">
        <v>12</v>
      </c>
      <c r="M1207" s="418">
        <v>44440</v>
      </c>
      <c r="N1207" s="143">
        <f t="shared" si="24"/>
        <v>44075</v>
      </c>
      <c r="O1207" s="328">
        <v>44440</v>
      </c>
      <c r="P1207" s="330">
        <v>24</v>
      </c>
      <c r="Q1207" s="330" t="s">
        <v>366</v>
      </c>
      <c r="R1207" s="153">
        <v>30000</v>
      </c>
      <c r="S1207" s="153" t="s">
        <v>163</v>
      </c>
      <c r="T1207" s="326" t="s">
        <v>54</v>
      </c>
      <c r="U1207" s="326" t="s">
        <v>43</v>
      </c>
      <c r="V1207" s="326"/>
      <c r="W1207" s="8" t="s">
        <v>3633</v>
      </c>
      <c r="X1207" s="105" t="s">
        <v>428</v>
      </c>
      <c r="Y1207" s="105" t="s">
        <v>457</v>
      </c>
      <c r="Z1207" s="105"/>
      <c r="AA1207" s="829" t="s">
        <v>40</v>
      </c>
      <c r="AB1207" s="842" t="s">
        <v>41</v>
      </c>
      <c r="AC1207" s="390">
        <v>44382</v>
      </c>
      <c r="AD1207" s="390"/>
      <c r="AE1207" s="390"/>
    </row>
    <row r="1208" spans="1:31" ht="57.6">
      <c r="A1208" s="888"/>
      <c r="B1208" s="323" t="s">
        <v>145</v>
      </c>
      <c r="C1208" s="323" t="s">
        <v>522</v>
      </c>
      <c r="D1208" s="1085" t="s">
        <v>60</v>
      </c>
      <c r="E1208" s="1085"/>
      <c r="F1208" s="1085"/>
      <c r="G1208" s="1085"/>
      <c r="H1208" s="735" t="s">
        <v>316</v>
      </c>
      <c r="I1208" s="735" t="s">
        <v>34</v>
      </c>
      <c r="J1208" s="1046" t="s">
        <v>1318</v>
      </c>
      <c r="K1208" s="735"/>
      <c r="L1208" s="735">
        <v>14</v>
      </c>
      <c r="M1208" s="754" t="s">
        <v>4161</v>
      </c>
      <c r="N1208" s="756">
        <f t="shared" si="24"/>
        <v>44013</v>
      </c>
      <c r="O1208" s="1148">
        <v>44440</v>
      </c>
      <c r="P1208" s="801">
        <v>60</v>
      </c>
      <c r="Q1208" s="1172" t="s">
        <v>1319</v>
      </c>
      <c r="R1208" s="789">
        <v>338000</v>
      </c>
      <c r="S1208" s="789" t="s">
        <v>98</v>
      </c>
      <c r="T1208" s="1210" t="s">
        <v>41</v>
      </c>
      <c r="U1208" s="1210" t="s">
        <v>4162</v>
      </c>
      <c r="V1208" s="1210"/>
      <c r="W1208" s="735" t="s">
        <v>900</v>
      </c>
      <c r="X1208" s="451" t="s">
        <v>4163</v>
      </c>
      <c r="Y1208" s="451" t="s">
        <v>59</v>
      </c>
      <c r="Z1208" s="451"/>
      <c r="AA1208" s="369" t="s">
        <v>80</v>
      </c>
      <c r="AB1208" s="837" t="s">
        <v>41</v>
      </c>
      <c r="AC1208" s="316">
        <v>44447</v>
      </c>
      <c r="AD1208" s="316"/>
      <c r="AE1208" s="316"/>
    </row>
    <row r="1209" spans="1:31" ht="66">
      <c r="A1209" s="852"/>
      <c r="B1209" s="520" t="s">
        <v>48</v>
      </c>
      <c r="C1209" s="465"/>
      <c r="D1209" s="466" t="s">
        <v>60</v>
      </c>
      <c r="E1209" s="466"/>
      <c r="F1209" s="466"/>
      <c r="G1209" s="466"/>
      <c r="H1209" s="466" t="s">
        <v>127</v>
      </c>
      <c r="I1209" s="465" t="s">
        <v>34</v>
      </c>
      <c r="J1209" s="1025" t="s">
        <v>2296</v>
      </c>
      <c r="K1209" s="488"/>
      <c r="L1209" s="466">
        <v>3</v>
      </c>
      <c r="M1209" s="469">
        <f t="shared" ref="M1209:M1218" si="25">IF(O1209="tbc","",(IFERROR(EDATE($N1209,-3),"Invalid procurement method or date entered")))</f>
        <v>44256</v>
      </c>
      <c r="N1209" s="469">
        <f t="shared" ref="N1209:N1218" si="26">IF(O1209="tbc","",(IFERROR(EDATE(O1209,-L1209),"Invalid procurement method or date entered")))</f>
        <v>44348</v>
      </c>
      <c r="O1209" s="489">
        <v>44440</v>
      </c>
      <c r="P1209" s="490" t="s">
        <v>125</v>
      </c>
      <c r="Q1209" s="490" t="s">
        <v>125</v>
      </c>
      <c r="R1209" s="483">
        <v>247000</v>
      </c>
      <c r="S1209" s="470" t="s">
        <v>129</v>
      </c>
      <c r="T1209" s="470"/>
      <c r="U1209" s="470" t="s">
        <v>125</v>
      </c>
      <c r="V1209" s="470"/>
      <c r="W1209" s="465" t="s">
        <v>2190</v>
      </c>
    </row>
    <row r="1210" spans="1:31" ht="52.8">
      <c r="A1210" s="852"/>
      <c r="B1210" s="520" t="s">
        <v>48</v>
      </c>
      <c r="C1210" s="466" t="s">
        <v>125</v>
      </c>
      <c r="D1210" s="481" t="s">
        <v>60</v>
      </c>
      <c r="E1210" s="481"/>
      <c r="F1210" s="481"/>
      <c r="G1210" s="481"/>
      <c r="H1210" s="481" t="s">
        <v>127</v>
      </c>
      <c r="I1210" s="479" t="s">
        <v>34</v>
      </c>
      <c r="J1210" s="1044" t="s">
        <v>2389</v>
      </c>
      <c r="K1210" s="566"/>
      <c r="L1210" s="481">
        <v>3</v>
      </c>
      <c r="M1210" s="576">
        <f t="shared" si="25"/>
        <v>44256</v>
      </c>
      <c r="N1210" s="576">
        <f t="shared" si="26"/>
        <v>44348</v>
      </c>
      <c r="O1210" s="473">
        <v>44440</v>
      </c>
      <c r="P1210" s="480">
        <v>3</v>
      </c>
      <c r="Q1210" s="480">
        <v>3</v>
      </c>
      <c r="R1210" s="472">
        <v>75000</v>
      </c>
      <c r="S1210" s="473" t="s">
        <v>173</v>
      </c>
      <c r="T1210" s="473" t="s">
        <v>36</v>
      </c>
      <c r="U1210" s="481" t="s">
        <v>125</v>
      </c>
      <c r="V1210" s="481"/>
      <c r="W1210" s="1221" t="s">
        <v>125</v>
      </c>
    </row>
    <row r="1211" spans="1:31" ht="39.6">
      <c r="A1211" s="852"/>
      <c r="B1211" s="520" t="s">
        <v>48</v>
      </c>
      <c r="C1211" s="465" t="s">
        <v>2403</v>
      </c>
      <c r="D1211" s="466" t="s">
        <v>82</v>
      </c>
      <c r="E1211" s="466"/>
      <c r="F1211" s="466"/>
      <c r="G1211" s="466"/>
      <c r="H1211" s="466" t="s">
        <v>49</v>
      </c>
      <c r="I1211" s="465" t="s">
        <v>34</v>
      </c>
      <c r="J1211" s="1025" t="s">
        <v>2404</v>
      </c>
      <c r="K1211" s="488"/>
      <c r="L1211" s="466">
        <v>12</v>
      </c>
      <c r="M1211" s="469">
        <f t="shared" si="25"/>
        <v>43983</v>
      </c>
      <c r="N1211" s="469">
        <f t="shared" si="26"/>
        <v>44075</v>
      </c>
      <c r="O1211" s="489">
        <v>44440</v>
      </c>
      <c r="P1211" s="490" t="s">
        <v>125</v>
      </c>
      <c r="Q1211" s="490" t="s">
        <v>125</v>
      </c>
      <c r="R1211" s="483">
        <v>130000</v>
      </c>
      <c r="S1211" s="470" t="s">
        <v>109</v>
      </c>
      <c r="T1211" s="470" t="s">
        <v>144</v>
      </c>
      <c r="U1211" s="470" t="s">
        <v>125</v>
      </c>
      <c r="V1211" s="470"/>
      <c r="W1211" s="577"/>
    </row>
    <row r="1212" spans="1:31" ht="52.8">
      <c r="A1212" s="852"/>
      <c r="B1212" s="520" t="s">
        <v>48</v>
      </c>
      <c r="C1212" s="465" t="s">
        <v>2410</v>
      </c>
      <c r="D1212" s="510" t="s">
        <v>214</v>
      </c>
      <c r="E1212" s="510"/>
      <c r="F1212" s="510"/>
      <c r="G1212" s="510"/>
      <c r="H1212" s="466" t="s">
        <v>127</v>
      </c>
      <c r="I1212" s="474" t="s">
        <v>34</v>
      </c>
      <c r="J1212" s="1024" t="s">
        <v>2411</v>
      </c>
      <c r="K1212" s="467"/>
      <c r="L1212" s="466">
        <v>1</v>
      </c>
      <c r="M1212" s="469">
        <f t="shared" si="25"/>
        <v>44317</v>
      </c>
      <c r="N1212" s="469">
        <f t="shared" si="26"/>
        <v>44409</v>
      </c>
      <c r="O1212" s="470">
        <v>44440</v>
      </c>
      <c r="P1212" s="471">
        <v>2</v>
      </c>
      <c r="Q1212" s="471">
        <v>2</v>
      </c>
      <c r="R1212" s="483">
        <v>800000</v>
      </c>
      <c r="S1212" s="470" t="s">
        <v>163</v>
      </c>
      <c r="T1212" s="470" t="s">
        <v>144</v>
      </c>
      <c r="U1212" s="470" t="s">
        <v>125</v>
      </c>
      <c r="V1212" s="470"/>
      <c r="W1212" s="513" t="s">
        <v>2373</v>
      </c>
    </row>
    <row r="1213" spans="1:31" ht="145.19999999999999">
      <c r="A1213" s="852"/>
      <c r="B1213" s="520" t="s">
        <v>48</v>
      </c>
      <c r="C1213" s="465" t="s">
        <v>2416</v>
      </c>
      <c r="D1213" s="510" t="s">
        <v>214</v>
      </c>
      <c r="E1213" s="510"/>
      <c r="F1213" s="510"/>
      <c r="G1213" s="510"/>
      <c r="H1213" s="466" t="s">
        <v>127</v>
      </c>
      <c r="I1213" s="465" t="s">
        <v>34</v>
      </c>
      <c r="J1213" s="1025" t="s">
        <v>2417</v>
      </c>
      <c r="K1213" s="488"/>
      <c r="L1213" s="466">
        <v>3</v>
      </c>
      <c r="M1213" s="469">
        <f t="shared" si="25"/>
        <v>44256</v>
      </c>
      <c r="N1213" s="469">
        <f t="shared" si="26"/>
        <v>44348</v>
      </c>
      <c r="O1213" s="489">
        <v>44440</v>
      </c>
      <c r="P1213" s="490" t="s">
        <v>125</v>
      </c>
      <c r="Q1213" s="490" t="s">
        <v>125</v>
      </c>
      <c r="R1213" s="483">
        <v>200400</v>
      </c>
      <c r="S1213" s="470" t="s">
        <v>129</v>
      </c>
      <c r="T1213" s="470" t="s">
        <v>36</v>
      </c>
      <c r="U1213" s="470" t="s">
        <v>125</v>
      </c>
      <c r="V1213" s="470"/>
      <c r="W1213" s="465" t="s">
        <v>2190</v>
      </c>
    </row>
    <row r="1214" spans="1:31" ht="39.6">
      <c r="A1214" s="852"/>
      <c r="B1214" s="520" t="s">
        <v>48</v>
      </c>
      <c r="C1214" s="465" t="s">
        <v>2454</v>
      </c>
      <c r="D1214" s="466" t="s">
        <v>82</v>
      </c>
      <c r="E1214" s="466"/>
      <c r="F1214" s="466"/>
      <c r="G1214" s="466"/>
      <c r="H1214" s="466" t="s">
        <v>49</v>
      </c>
      <c r="I1214" s="465" t="s">
        <v>34</v>
      </c>
      <c r="J1214" s="1025" t="s">
        <v>2455</v>
      </c>
      <c r="K1214" s="484"/>
      <c r="L1214" s="466">
        <v>12</v>
      </c>
      <c r="M1214" s="469">
        <f t="shared" si="25"/>
        <v>43983</v>
      </c>
      <c r="N1214" s="469">
        <f t="shared" si="26"/>
        <v>44075</v>
      </c>
      <c r="O1214" s="489">
        <v>44440</v>
      </c>
      <c r="P1214" s="490" t="s">
        <v>125</v>
      </c>
      <c r="Q1214" s="490" t="s">
        <v>125</v>
      </c>
      <c r="R1214" s="483">
        <v>110000</v>
      </c>
      <c r="S1214" s="470" t="s">
        <v>109</v>
      </c>
      <c r="T1214" s="470" t="s">
        <v>144</v>
      </c>
      <c r="U1214" s="470" t="s">
        <v>125</v>
      </c>
      <c r="V1214" s="470"/>
      <c r="W1214" s="577"/>
    </row>
    <row r="1215" spans="1:31" ht="66">
      <c r="A1215" s="852"/>
      <c r="B1215" s="520" t="s">
        <v>48</v>
      </c>
      <c r="C1215" s="465" t="s">
        <v>2480</v>
      </c>
      <c r="D1215" s="466" t="s">
        <v>60</v>
      </c>
      <c r="E1215" s="466"/>
      <c r="F1215" s="466"/>
      <c r="G1215" s="466"/>
      <c r="H1215" s="466" t="s">
        <v>127</v>
      </c>
      <c r="I1215" s="474" t="s">
        <v>34</v>
      </c>
      <c r="J1215" s="1024" t="s">
        <v>2481</v>
      </c>
      <c r="K1215" s="484"/>
      <c r="L1215" s="466">
        <v>3</v>
      </c>
      <c r="M1215" s="469">
        <f t="shared" si="25"/>
        <v>44256</v>
      </c>
      <c r="N1215" s="469">
        <f t="shared" si="26"/>
        <v>44348</v>
      </c>
      <c r="O1215" s="470">
        <v>44440</v>
      </c>
      <c r="P1215" s="485" t="s">
        <v>2482</v>
      </c>
      <c r="Q1215" s="485" t="s">
        <v>2482</v>
      </c>
      <c r="R1215" s="483">
        <v>50000</v>
      </c>
      <c r="S1215" s="470" t="s">
        <v>129</v>
      </c>
      <c r="T1215" s="470" t="s">
        <v>36</v>
      </c>
      <c r="U1215" s="470" t="s">
        <v>54</v>
      </c>
      <c r="V1215" s="470"/>
      <c r="W1215" s="354" t="s">
        <v>41</v>
      </c>
    </row>
    <row r="1216" spans="1:31" ht="66">
      <c r="A1216" s="852"/>
      <c r="B1216" s="520" t="s">
        <v>48</v>
      </c>
      <c r="C1216" s="465" t="s">
        <v>2486</v>
      </c>
      <c r="D1216" s="466" t="s">
        <v>214</v>
      </c>
      <c r="E1216" s="466"/>
      <c r="F1216" s="466"/>
      <c r="G1216" s="466"/>
      <c r="H1216" s="466" t="s">
        <v>127</v>
      </c>
      <c r="I1216" s="465" t="s">
        <v>34</v>
      </c>
      <c r="J1216" s="1025" t="s">
        <v>2487</v>
      </c>
      <c r="K1216" s="744"/>
      <c r="L1216" s="466">
        <v>3</v>
      </c>
      <c r="M1216" s="469">
        <f t="shared" si="25"/>
        <v>44256</v>
      </c>
      <c r="N1216" s="469">
        <f t="shared" si="26"/>
        <v>44348</v>
      </c>
      <c r="O1216" s="489">
        <v>44440</v>
      </c>
      <c r="P1216" s="490" t="s">
        <v>125</v>
      </c>
      <c r="Q1216" s="490" t="s">
        <v>125</v>
      </c>
      <c r="R1216" s="483">
        <v>465003</v>
      </c>
      <c r="S1216" s="470" t="s">
        <v>129</v>
      </c>
      <c r="T1216" s="470" t="s">
        <v>36</v>
      </c>
      <c r="U1216" s="470" t="s">
        <v>125</v>
      </c>
      <c r="V1216" s="470"/>
      <c r="W1216" s="354" t="s">
        <v>41</v>
      </c>
    </row>
    <row r="1217" spans="1:32" ht="118.8">
      <c r="A1217" s="852"/>
      <c r="B1217" s="520" t="s">
        <v>48</v>
      </c>
      <c r="C1217" s="465" t="s">
        <v>2492</v>
      </c>
      <c r="D1217" s="466" t="s">
        <v>214</v>
      </c>
      <c r="E1217" s="466"/>
      <c r="F1217" s="466"/>
      <c r="G1217" s="466"/>
      <c r="H1217" s="466" t="s">
        <v>127</v>
      </c>
      <c r="I1217" s="465" t="s">
        <v>34</v>
      </c>
      <c r="J1217" s="1041" t="s">
        <v>2493</v>
      </c>
      <c r="K1217" s="744"/>
      <c r="L1217" s="466">
        <v>3</v>
      </c>
      <c r="M1217" s="469">
        <f t="shared" si="25"/>
        <v>44256</v>
      </c>
      <c r="N1217" s="469">
        <f t="shared" si="26"/>
        <v>44348</v>
      </c>
      <c r="O1217" s="489">
        <v>44440</v>
      </c>
      <c r="P1217" s="490" t="s">
        <v>125</v>
      </c>
      <c r="Q1217" s="490" t="s">
        <v>125</v>
      </c>
      <c r="R1217" s="483">
        <v>168900</v>
      </c>
      <c r="S1217" s="470" t="s">
        <v>129</v>
      </c>
      <c r="T1217" s="470" t="s">
        <v>36</v>
      </c>
      <c r="U1217" s="470" t="s">
        <v>125</v>
      </c>
      <c r="V1217" s="470"/>
      <c r="W1217" s="354" t="s">
        <v>41</v>
      </c>
    </row>
    <row r="1218" spans="1:32" ht="66">
      <c r="A1218" s="852"/>
      <c r="B1218" s="520" t="s">
        <v>48</v>
      </c>
      <c r="C1218" s="465" t="s">
        <v>125</v>
      </c>
      <c r="D1218" s="466" t="s">
        <v>60</v>
      </c>
      <c r="E1218" s="466"/>
      <c r="F1218" s="466"/>
      <c r="G1218" s="466"/>
      <c r="H1218" s="466" t="s">
        <v>127</v>
      </c>
      <c r="I1218" s="465" t="s">
        <v>34</v>
      </c>
      <c r="J1218" s="1025" t="s">
        <v>2494</v>
      </c>
      <c r="K1218" s="744"/>
      <c r="L1218" s="466">
        <v>3</v>
      </c>
      <c r="M1218" s="469">
        <f t="shared" si="25"/>
        <v>44256</v>
      </c>
      <c r="N1218" s="469">
        <f t="shared" si="26"/>
        <v>44348</v>
      </c>
      <c r="O1218" s="489">
        <v>44440</v>
      </c>
      <c r="P1218" s="490" t="s">
        <v>125</v>
      </c>
      <c r="Q1218" s="490" t="s">
        <v>125</v>
      </c>
      <c r="R1218" s="483">
        <v>50000</v>
      </c>
      <c r="S1218" s="470" t="s">
        <v>129</v>
      </c>
      <c r="T1218" s="470" t="s">
        <v>36</v>
      </c>
      <c r="U1218" s="470" t="s">
        <v>125</v>
      </c>
      <c r="V1218" s="470"/>
      <c r="W1218" s="354" t="s">
        <v>41</v>
      </c>
    </row>
    <row r="1219" spans="1:32" ht="15.6">
      <c r="A1219" s="1061">
        <v>44974</v>
      </c>
      <c r="B1219" s="1066" t="s">
        <v>210</v>
      </c>
      <c r="C1219" s="1072" t="s">
        <v>4164</v>
      </c>
      <c r="D1219" s="1072" t="s">
        <v>2856</v>
      </c>
      <c r="E1219" s="1066" t="s">
        <v>210</v>
      </c>
      <c r="F1219" s="1066" t="s">
        <v>190</v>
      </c>
      <c r="G1219" s="1066" t="s">
        <v>190</v>
      </c>
      <c r="H1219" s="1066" t="s">
        <v>190</v>
      </c>
      <c r="I1219" s="1066" t="s">
        <v>190</v>
      </c>
      <c r="J1219" s="1095" t="s">
        <v>4165</v>
      </c>
      <c r="K1219" s="1072" t="s">
        <v>4166</v>
      </c>
      <c r="L1219" s="1066" t="s">
        <v>190</v>
      </c>
      <c r="M1219" s="1066" t="s">
        <v>190</v>
      </c>
      <c r="N1219" s="1066" t="s">
        <v>190</v>
      </c>
      <c r="O1219" s="1142">
        <v>44440</v>
      </c>
      <c r="P1219" s="1142">
        <v>45169</v>
      </c>
      <c r="Q1219" s="1072" t="s">
        <v>100</v>
      </c>
      <c r="R1219" s="1176">
        <v>36100</v>
      </c>
      <c r="S1219" s="1072" t="s">
        <v>1345</v>
      </c>
      <c r="T1219" s="1066" t="s">
        <v>190</v>
      </c>
      <c r="U1219" s="1066" t="s">
        <v>190</v>
      </c>
      <c r="V1219" s="1066"/>
      <c r="W1219" s="1072" t="s">
        <v>490</v>
      </c>
      <c r="X1219" s="1116" t="s">
        <v>1346</v>
      </c>
      <c r="Y1219" s="1116" t="s">
        <v>1266</v>
      </c>
      <c r="Z1219" s="1068" t="s">
        <v>190</v>
      </c>
      <c r="AA1219" s="1068" t="s">
        <v>190</v>
      </c>
      <c r="AB1219" s="1068" t="s">
        <v>190</v>
      </c>
      <c r="AC1219" s="694" t="s">
        <v>4167</v>
      </c>
      <c r="AD1219" s="1068" t="s">
        <v>190</v>
      </c>
      <c r="AE1219" s="1193">
        <v>36100</v>
      </c>
    </row>
    <row r="1220" spans="1:32" ht="15.6">
      <c r="A1220" s="1061">
        <v>44974</v>
      </c>
      <c r="B1220" s="1066" t="s">
        <v>210</v>
      </c>
      <c r="C1220" s="1072" t="s">
        <v>4168</v>
      </c>
      <c r="D1220" s="1072" t="s">
        <v>1073</v>
      </c>
      <c r="E1220" s="1066" t="s">
        <v>210</v>
      </c>
      <c r="F1220" s="1066" t="s">
        <v>190</v>
      </c>
      <c r="G1220" s="1066" t="s">
        <v>190</v>
      </c>
      <c r="H1220" s="1066" t="s">
        <v>190</v>
      </c>
      <c r="I1220" s="1066" t="s">
        <v>190</v>
      </c>
      <c r="J1220" s="1095" t="s">
        <v>4169</v>
      </c>
      <c r="K1220" s="1072" t="s">
        <v>611</v>
      </c>
      <c r="L1220" s="1066" t="s">
        <v>190</v>
      </c>
      <c r="M1220" s="1066" t="s">
        <v>190</v>
      </c>
      <c r="N1220" s="1066" t="s">
        <v>190</v>
      </c>
      <c r="O1220" s="1142">
        <v>44440</v>
      </c>
      <c r="P1220" s="1142">
        <v>45169</v>
      </c>
      <c r="Q1220" s="1142">
        <v>45900</v>
      </c>
      <c r="R1220" s="1176">
        <v>44000</v>
      </c>
      <c r="S1220" s="1072" t="s">
        <v>2713</v>
      </c>
      <c r="T1220" s="1066" t="s">
        <v>190</v>
      </c>
      <c r="U1220" s="1066" t="s">
        <v>190</v>
      </c>
      <c r="V1220" s="1066"/>
      <c r="W1220" s="1072" t="s">
        <v>4170</v>
      </c>
      <c r="X1220" s="1116" t="s">
        <v>1346</v>
      </c>
      <c r="Y1220" s="1116" t="s">
        <v>1266</v>
      </c>
      <c r="Z1220" s="1068" t="s">
        <v>190</v>
      </c>
      <c r="AA1220" s="1068" t="s">
        <v>190</v>
      </c>
      <c r="AB1220" s="1068" t="s">
        <v>190</v>
      </c>
      <c r="AC1220" s="694" t="s">
        <v>4171</v>
      </c>
      <c r="AD1220" s="1068" t="s">
        <v>190</v>
      </c>
      <c r="AE1220" s="1193">
        <v>44000</v>
      </c>
    </row>
    <row r="1221" spans="1:32" ht="15.6">
      <c r="A1221" s="1061">
        <v>44974</v>
      </c>
      <c r="B1221" s="1066" t="s">
        <v>210</v>
      </c>
      <c r="C1221" s="1072" t="s">
        <v>4172</v>
      </c>
      <c r="D1221" s="1072" t="s">
        <v>1073</v>
      </c>
      <c r="E1221" s="1066" t="s">
        <v>210</v>
      </c>
      <c r="F1221" s="1066" t="s">
        <v>190</v>
      </c>
      <c r="G1221" s="1066" t="s">
        <v>190</v>
      </c>
      <c r="H1221" s="1066" t="s">
        <v>190</v>
      </c>
      <c r="I1221" s="1066" t="s">
        <v>190</v>
      </c>
      <c r="J1221" s="1095" t="s">
        <v>1187</v>
      </c>
      <c r="K1221" s="1072" t="s">
        <v>1188</v>
      </c>
      <c r="L1221" s="1066" t="s">
        <v>190</v>
      </c>
      <c r="M1221" s="1066" t="s">
        <v>190</v>
      </c>
      <c r="N1221" s="1066" t="s">
        <v>190</v>
      </c>
      <c r="O1221" s="1142">
        <v>44440</v>
      </c>
      <c r="P1221" s="1142">
        <v>45169</v>
      </c>
      <c r="Q1221" s="1142">
        <v>45900</v>
      </c>
      <c r="R1221" s="1176">
        <v>1500</v>
      </c>
      <c r="S1221" s="1072" t="s">
        <v>2713</v>
      </c>
      <c r="T1221" s="1066" t="s">
        <v>190</v>
      </c>
      <c r="U1221" s="1066" t="s">
        <v>190</v>
      </c>
      <c r="V1221" s="1066"/>
      <c r="W1221" s="1072" t="s">
        <v>1169</v>
      </c>
      <c r="X1221" s="1116" t="s">
        <v>1346</v>
      </c>
      <c r="Y1221" s="1116" t="s">
        <v>1266</v>
      </c>
      <c r="Z1221" s="1068" t="s">
        <v>190</v>
      </c>
      <c r="AA1221" s="1068" t="s">
        <v>190</v>
      </c>
      <c r="AB1221" s="1068" t="s">
        <v>190</v>
      </c>
      <c r="AC1221" s="694" t="s">
        <v>1189</v>
      </c>
      <c r="AD1221" s="1068" t="s">
        <v>190</v>
      </c>
      <c r="AE1221" s="1193">
        <v>1500</v>
      </c>
    </row>
    <row r="1222" spans="1:32" ht="409.6">
      <c r="A1222" s="686" t="s">
        <v>43</v>
      </c>
      <c r="B1222" s="626" t="s">
        <v>145</v>
      </c>
      <c r="C1222" s="626" t="s">
        <v>35</v>
      </c>
      <c r="D1222" s="628" t="s">
        <v>92</v>
      </c>
      <c r="E1222" s="628"/>
      <c r="F1222" s="628"/>
      <c r="G1222" s="628"/>
      <c r="H1222" s="628" t="s">
        <v>92</v>
      </c>
      <c r="I1222" s="628" t="s">
        <v>266</v>
      </c>
      <c r="J1222" s="1048" t="s">
        <v>148</v>
      </c>
      <c r="K1222" s="628" t="s">
        <v>34</v>
      </c>
      <c r="L1222" s="627" t="s">
        <v>4173</v>
      </c>
      <c r="M1222" s="628" t="s">
        <v>4174</v>
      </c>
      <c r="N1222" s="628">
        <v>12</v>
      </c>
      <c r="O1222" s="630">
        <f>IFERROR(EDATE(Q1222,-N1222),"Invalid procurement method or date entered")</f>
        <v>44441</v>
      </c>
      <c r="P1222" s="620"/>
      <c r="Q1222" s="631">
        <v>44806</v>
      </c>
      <c r="R1222" s="654" t="s">
        <v>35</v>
      </c>
      <c r="S1222" s="654" t="s">
        <v>35</v>
      </c>
      <c r="T1222" s="653">
        <v>25000</v>
      </c>
      <c r="U1222" s="628" t="s">
        <v>163</v>
      </c>
      <c r="V1222" s="628"/>
      <c r="W1222" s="629" t="s">
        <v>43</v>
      </c>
      <c r="X1222" s="669" t="s">
        <v>266</v>
      </c>
      <c r="Y1222" s="669" t="s">
        <v>4175</v>
      </c>
      <c r="Z1222" s="669" t="s">
        <v>363</v>
      </c>
      <c r="AA1222" s="669" t="s">
        <v>457</v>
      </c>
      <c r="AB1222" s="669" t="s">
        <v>95</v>
      </c>
      <c r="AC1222" s="830" t="s">
        <v>41</v>
      </c>
      <c r="AD1222" s="1251">
        <v>44946</v>
      </c>
      <c r="AE1222" s="707" t="s">
        <v>4176</v>
      </c>
      <c r="AF1222" s="854" t="s">
        <v>266</v>
      </c>
    </row>
    <row r="1223" spans="1:32" ht="15.6">
      <c r="A1223" s="1061">
        <v>44974</v>
      </c>
      <c r="B1223" s="1066" t="s">
        <v>210</v>
      </c>
      <c r="C1223" s="1072" t="s">
        <v>4177</v>
      </c>
      <c r="D1223" s="1072" t="s">
        <v>1034</v>
      </c>
      <c r="E1223" s="1066" t="s">
        <v>210</v>
      </c>
      <c r="F1223" s="1066" t="s">
        <v>190</v>
      </c>
      <c r="G1223" s="1066" t="s">
        <v>190</v>
      </c>
      <c r="H1223" s="1066" t="s">
        <v>190</v>
      </c>
      <c r="I1223" s="1066" t="s">
        <v>190</v>
      </c>
      <c r="J1223" s="1095" t="s">
        <v>4178</v>
      </c>
      <c r="K1223" s="1072" t="s">
        <v>565</v>
      </c>
      <c r="L1223" s="1066" t="s">
        <v>190</v>
      </c>
      <c r="M1223" s="1066" t="s">
        <v>190</v>
      </c>
      <c r="N1223" s="1066" t="s">
        <v>190</v>
      </c>
      <c r="O1223" s="1142">
        <v>44441</v>
      </c>
      <c r="P1223" s="1142">
        <v>44651</v>
      </c>
      <c r="Q1223" s="1072" t="s">
        <v>100</v>
      </c>
      <c r="R1223" s="1176">
        <v>19985</v>
      </c>
      <c r="S1223" s="1072" t="s">
        <v>1358</v>
      </c>
      <c r="T1223" s="1066" t="s">
        <v>190</v>
      </c>
      <c r="U1223" s="1066" t="s">
        <v>190</v>
      </c>
      <c r="V1223" s="1066"/>
      <c r="W1223" s="1072" t="s">
        <v>4179</v>
      </c>
      <c r="X1223" s="1116" t="s">
        <v>1346</v>
      </c>
      <c r="Y1223" s="1116" t="s">
        <v>1266</v>
      </c>
      <c r="Z1223" s="1068" t="s">
        <v>190</v>
      </c>
      <c r="AA1223" s="1068" t="s">
        <v>190</v>
      </c>
      <c r="AB1223" s="1068" t="s">
        <v>190</v>
      </c>
      <c r="AC1223" s="694" t="s">
        <v>4180</v>
      </c>
      <c r="AD1223" s="1068" t="s">
        <v>190</v>
      </c>
      <c r="AE1223" s="1193">
        <v>19985</v>
      </c>
    </row>
    <row r="1224" spans="1:32" ht="52.8">
      <c r="A1224" s="852"/>
      <c r="B1224" s="520" t="s">
        <v>48</v>
      </c>
      <c r="C1224" s="465" t="s">
        <v>2420</v>
      </c>
      <c r="D1224" s="465" t="s">
        <v>48</v>
      </c>
      <c r="E1224" s="465"/>
      <c r="F1224" s="465"/>
      <c r="G1224" s="465"/>
      <c r="H1224" s="466" t="s">
        <v>60</v>
      </c>
      <c r="I1224" s="466"/>
      <c r="J1224" s="1025" t="s">
        <v>2421</v>
      </c>
      <c r="K1224" s="488"/>
      <c r="L1224" s="466">
        <v>3</v>
      </c>
      <c r="M1224" s="469">
        <f>IF(O1224="tbc","",(IFERROR(EDATE($N1224,-3),"Invalid procurement method or date entered")))</f>
        <v>44259</v>
      </c>
      <c r="N1224" s="469">
        <f>IF(O1224="tbc","",(IFERROR(EDATE(O1224,-L1224),"Invalid procurement method or date entered")))</f>
        <v>44351</v>
      </c>
      <c r="O1224" s="489">
        <v>44443</v>
      </c>
      <c r="P1224" s="490" t="s">
        <v>125</v>
      </c>
      <c r="Q1224" s="490" t="s">
        <v>125</v>
      </c>
      <c r="R1224" s="483">
        <v>80000</v>
      </c>
      <c r="S1224" s="470" t="s">
        <v>163</v>
      </c>
      <c r="T1224" s="470" t="s">
        <v>36</v>
      </c>
      <c r="U1224" s="470" t="s">
        <v>125</v>
      </c>
      <c r="V1224" s="470"/>
      <c r="W1224" s="465" t="s">
        <v>2190</v>
      </c>
    </row>
    <row r="1225" spans="1:32" ht="52.8">
      <c r="A1225" s="852"/>
      <c r="B1225" s="520" t="s">
        <v>48</v>
      </c>
      <c r="C1225" s="465" t="s">
        <v>125</v>
      </c>
      <c r="D1225" s="466" t="s">
        <v>60</v>
      </c>
      <c r="E1225" s="466"/>
      <c r="F1225" s="466"/>
      <c r="G1225" s="466"/>
      <c r="H1225" s="466" t="s">
        <v>127</v>
      </c>
      <c r="I1225" s="474" t="s">
        <v>34</v>
      </c>
      <c r="J1225" s="1024" t="s">
        <v>2339</v>
      </c>
      <c r="K1225" s="467"/>
      <c r="L1225" s="466">
        <v>1</v>
      </c>
      <c r="M1225" s="469">
        <f>IF(O1225="tbc","",(IFERROR(EDATE($N1225,-3),"Invalid procurement method or date entered")))</f>
        <v>44322</v>
      </c>
      <c r="N1225" s="469">
        <f>IF(O1225="tbc","",(IFERROR(EDATE(O1225,-L1225),"Invalid procurement method or date entered")))</f>
        <v>44414</v>
      </c>
      <c r="O1225" s="470">
        <v>44445</v>
      </c>
      <c r="P1225" s="474">
        <v>1</v>
      </c>
      <c r="Q1225" s="474">
        <v>1</v>
      </c>
      <c r="R1225" s="483">
        <v>25000</v>
      </c>
      <c r="S1225" s="470" t="s">
        <v>163</v>
      </c>
      <c r="T1225" s="470" t="s">
        <v>36</v>
      </c>
      <c r="U1225" s="470" t="s">
        <v>125</v>
      </c>
      <c r="V1225" s="470"/>
      <c r="W1225" s="513" t="s">
        <v>1304</v>
      </c>
    </row>
    <row r="1226" spans="1:32" ht="52.8">
      <c r="A1226" s="852"/>
      <c r="B1226" s="520" t="s">
        <v>48</v>
      </c>
      <c r="C1226" s="465" t="s">
        <v>2414</v>
      </c>
      <c r="D1226" s="466" t="s">
        <v>60</v>
      </c>
      <c r="E1226" s="466"/>
      <c r="F1226" s="466"/>
      <c r="G1226" s="466"/>
      <c r="H1226" s="466" t="s">
        <v>127</v>
      </c>
      <c r="I1226" s="474" t="s">
        <v>34</v>
      </c>
      <c r="J1226" s="1024" t="s">
        <v>2415</v>
      </c>
      <c r="K1226" s="467"/>
      <c r="L1226" s="466">
        <v>3</v>
      </c>
      <c r="M1226" s="469">
        <f>IF(O1226="tbc","",(IFERROR(EDATE($N1226,-3),"Invalid procurement method or date entered")))</f>
        <v>44261</v>
      </c>
      <c r="N1226" s="469">
        <f>IF(O1226="tbc","",(IFERROR(EDATE(O1226,-L1226),"Invalid procurement method or date entered")))</f>
        <v>44353</v>
      </c>
      <c r="O1226" s="470">
        <v>44445</v>
      </c>
      <c r="P1226" s="471">
        <v>7</v>
      </c>
      <c r="Q1226" s="471">
        <v>7</v>
      </c>
      <c r="R1226" s="483">
        <v>780000</v>
      </c>
      <c r="S1226" s="470" t="s">
        <v>186</v>
      </c>
      <c r="T1226" s="470" t="s">
        <v>144</v>
      </c>
      <c r="U1226" s="470">
        <v>43571</v>
      </c>
      <c r="V1226" s="470"/>
      <c r="W1226" s="513" t="s">
        <v>1304</v>
      </c>
    </row>
    <row r="1227" spans="1:32" ht="52.8">
      <c r="A1227" s="852"/>
      <c r="B1227" s="520" t="s">
        <v>48</v>
      </c>
      <c r="C1227" s="465" t="s">
        <v>2467</v>
      </c>
      <c r="D1227" s="466" t="s">
        <v>214</v>
      </c>
      <c r="E1227" s="466"/>
      <c r="F1227" s="466"/>
      <c r="G1227" s="466"/>
      <c r="H1227" s="466" t="s">
        <v>127</v>
      </c>
      <c r="I1227" s="474" t="s">
        <v>34</v>
      </c>
      <c r="J1227" s="1024" t="s">
        <v>2468</v>
      </c>
      <c r="K1227" s="484"/>
      <c r="L1227" s="466">
        <v>3</v>
      </c>
      <c r="M1227" s="469">
        <f>IF(O1227="tbc","",(IFERROR(EDATE($N1227,-3),"Invalid procurement method or date entered")))</f>
        <v>44261</v>
      </c>
      <c r="N1227" s="469">
        <f>IF(O1227="tbc","",(IFERROR(EDATE(O1227,-L1227),"Invalid procurement method or date entered")))</f>
        <v>44353</v>
      </c>
      <c r="O1227" s="470">
        <v>44445</v>
      </c>
      <c r="P1227" s="471">
        <v>1</v>
      </c>
      <c r="Q1227" s="471">
        <v>1</v>
      </c>
      <c r="R1227" s="483">
        <v>37000</v>
      </c>
      <c r="S1227" s="470" t="s">
        <v>163</v>
      </c>
      <c r="T1227" s="470" t="s">
        <v>36</v>
      </c>
      <c r="U1227" s="470" t="s">
        <v>125</v>
      </c>
      <c r="V1227" s="470"/>
      <c r="W1227" s="354" t="s">
        <v>41</v>
      </c>
    </row>
    <row r="1228" spans="1:32" ht="100.8">
      <c r="A1228" s="888"/>
      <c r="B1228" s="1351"/>
      <c r="C1228" s="4" t="s">
        <v>4181</v>
      </c>
      <c r="D1228" s="728" t="s">
        <v>60</v>
      </c>
      <c r="E1228" s="728"/>
      <c r="F1228" s="728"/>
      <c r="G1228" s="728"/>
      <c r="H1228" s="1088" t="s">
        <v>63</v>
      </c>
      <c r="I1228" s="1091" t="s">
        <v>34</v>
      </c>
      <c r="J1228" s="743" t="s">
        <v>1323</v>
      </c>
      <c r="K1228" s="181"/>
      <c r="L1228" s="55" t="e">
        <f>IF(OR(S1228=#REF!,S1228=#REF!,S1228=#REF!,S1228=#REF!,S1228=#REF!,S1228=#REF!,S1228=#REF!,S1228=#REF!),12,IF(OR(S1228=#REF!,S1228=#REF!,S1228=#REF!,S1228=#REF!,S1228=#REF!,S1228=#REF!,S1228=#REF!),3,IF(S1228=#REF!,1,IF(S1228=#REF!,18,IF(OR(S1228=#REF!,S1228=#REF!,S1228=#REF!,S1228=#REF!,S1228=#REF!),14,"Invalid proposed procurement method")))))</f>
        <v>#REF!</v>
      </c>
      <c r="M1228" s="199" t="str">
        <f>IFERROR(EDATE($N1228,-3),"Invalid procurement method or date entered")</f>
        <v>Invalid procurement method or date entered</v>
      </c>
      <c r="N1228" s="199" t="str">
        <f>IFERROR(EDATE(O1228,-L1228),"Invalid procurement method or date entered")</f>
        <v>Invalid procurement method or date entered</v>
      </c>
      <c r="O1228" s="296">
        <v>44446</v>
      </c>
      <c r="P1228" s="196" t="s">
        <v>65</v>
      </c>
      <c r="Q1228" s="196" t="s">
        <v>65</v>
      </c>
      <c r="R1228" s="195">
        <v>15250490</v>
      </c>
      <c r="S1228" s="1088" t="s">
        <v>98</v>
      </c>
      <c r="T1228" s="1205" t="s">
        <v>41</v>
      </c>
      <c r="U1228" s="1205">
        <v>44313</v>
      </c>
      <c r="V1228" s="1205"/>
      <c r="W1228" s="767" t="s">
        <v>67</v>
      </c>
      <c r="X1228" s="449" t="s">
        <v>1091</v>
      </c>
      <c r="Y1228" s="74" t="s">
        <v>457</v>
      </c>
      <c r="Z1228" s="74" t="s">
        <v>40</v>
      </c>
      <c r="AA1228" s="74" t="s">
        <v>41</v>
      </c>
      <c r="AB1228" s="316" t="s">
        <v>1263</v>
      </c>
      <c r="AC1228" s="848" t="s">
        <v>1324</v>
      </c>
      <c r="AD1228" s="70" t="s">
        <v>63</v>
      </c>
      <c r="AE1228" s="74"/>
    </row>
    <row r="1229" spans="1:32" ht="52.8">
      <c r="A1229" s="852"/>
      <c r="B1229" s="520" t="s">
        <v>48</v>
      </c>
      <c r="C1229" s="465" t="s">
        <v>2397</v>
      </c>
      <c r="D1229" s="466" t="s">
        <v>60</v>
      </c>
      <c r="E1229" s="466"/>
      <c r="F1229" s="466"/>
      <c r="G1229" s="466"/>
      <c r="H1229" s="466" t="s">
        <v>127</v>
      </c>
      <c r="I1229" s="465" t="s">
        <v>34</v>
      </c>
      <c r="J1229" s="1025" t="s">
        <v>2398</v>
      </c>
      <c r="K1229" s="488"/>
      <c r="L1229" s="466">
        <v>3</v>
      </c>
      <c r="M1229" s="469">
        <f>IF(O1229="tbc","",(IFERROR(EDATE($N1229,-3),"Invalid procurement method or date entered")))</f>
        <v>44262</v>
      </c>
      <c r="N1229" s="469">
        <f>IF(O1229="tbc","",(IFERROR(EDATE(O1229,-L1229),"Invalid procurement method or date entered")))</f>
        <v>44354</v>
      </c>
      <c r="O1229" s="489">
        <v>44446</v>
      </c>
      <c r="P1229" s="490" t="s">
        <v>125</v>
      </c>
      <c r="Q1229" s="490" t="s">
        <v>125</v>
      </c>
      <c r="R1229" s="483">
        <v>100000</v>
      </c>
      <c r="S1229" s="470" t="s">
        <v>163</v>
      </c>
      <c r="T1229" s="470" t="s">
        <v>36</v>
      </c>
      <c r="U1229" s="470" t="s">
        <v>125</v>
      </c>
      <c r="V1229" s="470"/>
      <c r="W1229" s="465" t="s">
        <v>2190</v>
      </c>
    </row>
    <row r="1230" spans="1:32" ht="52.8">
      <c r="A1230" s="852"/>
      <c r="B1230" s="520" t="s">
        <v>48</v>
      </c>
      <c r="C1230" s="465" t="s">
        <v>125</v>
      </c>
      <c r="D1230" s="466" t="s">
        <v>60</v>
      </c>
      <c r="E1230" s="466"/>
      <c r="F1230" s="466"/>
      <c r="G1230" s="466"/>
      <c r="H1230" s="466" t="s">
        <v>127</v>
      </c>
      <c r="I1230" s="465" t="s">
        <v>34</v>
      </c>
      <c r="J1230" s="1040" t="s">
        <v>2501</v>
      </c>
      <c r="K1230" s="745"/>
      <c r="L1230" s="466">
        <v>1</v>
      </c>
      <c r="M1230" s="514">
        <f>IF(O1230="tbc","",(IFERROR(EDATE($N1230,-3),"Invalid procurement method or date entered")))</f>
        <v>44327</v>
      </c>
      <c r="N1230" s="469">
        <f>IF(O1230="tbc","",(IFERROR(EDATE(O1230,-L1230),"Invalid procurement method or date entered")))</f>
        <v>44419</v>
      </c>
      <c r="O1230" s="516">
        <v>44450</v>
      </c>
      <c r="P1230" s="490" t="s">
        <v>125</v>
      </c>
      <c r="Q1230" s="490" t="s">
        <v>125</v>
      </c>
      <c r="R1230" s="518" t="s">
        <v>125</v>
      </c>
      <c r="S1230" s="470" t="s">
        <v>163</v>
      </c>
      <c r="T1230" s="470" t="s">
        <v>144</v>
      </c>
      <c r="U1230" s="470" t="s">
        <v>125</v>
      </c>
      <c r="V1230" s="470"/>
      <c r="W1230" s="476" t="s">
        <v>41</v>
      </c>
    </row>
    <row r="1231" spans="1:32" ht="66">
      <c r="A1231" s="852"/>
      <c r="B1231" s="520" t="s">
        <v>48</v>
      </c>
      <c r="C1231" s="466" t="s">
        <v>2429</v>
      </c>
      <c r="D1231" s="465" t="s">
        <v>48</v>
      </c>
      <c r="E1231" s="465"/>
      <c r="F1231" s="465"/>
      <c r="G1231" s="465"/>
      <c r="H1231" s="510" t="s">
        <v>214</v>
      </c>
      <c r="I1231" s="474" t="s">
        <v>34</v>
      </c>
      <c r="J1231" s="1024" t="s">
        <v>2430</v>
      </c>
      <c r="K1231" s="484"/>
      <c r="L1231" s="466">
        <v>3</v>
      </c>
      <c r="M1231" s="469">
        <f>IF(O1231="tbc","",(IFERROR(EDATE($N1231,-3),"Invalid procurement method or date entered")))</f>
        <v>44275</v>
      </c>
      <c r="N1231" s="469">
        <f>IF(O1231="tbc","",(IFERROR(EDATE(O1231,-L1231),"Invalid procurement method or date entered")))</f>
        <v>44367</v>
      </c>
      <c r="O1231" s="470">
        <v>44459</v>
      </c>
      <c r="P1231" s="471">
        <v>1</v>
      </c>
      <c r="Q1231" s="482">
        <v>1</v>
      </c>
      <c r="R1231" s="483">
        <v>139000</v>
      </c>
      <c r="S1231" s="470" t="s">
        <v>129</v>
      </c>
      <c r="T1231" s="470" t="s">
        <v>36</v>
      </c>
      <c r="U1231" s="466" t="s">
        <v>125</v>
      </c>
      <c r="V1231" s="466"/>
      <c r="W1231" s="465"/>
    </row>
    <row r="1232" spans="1:32" ht="57.6">
      <c r="A1232" s="888"/>
      <c r="B1232" s="323" t="s">
        <v>145</v>
      </c>
      <c r="C1232" s="323"/>
      <c r="D1232" s="8" t="s">
        <v>92</v>
      </c>
      <c r="E1232" s="8"/>
      <c r="F1232" s="8"/>
      <c r="G1232" s="8"/>
      <c r="H1232" s="8" t="s">
        <v>148</v>
      </c>
      <c r="I1232" s="8" t="s">
        <v>34</v>
      </c>
      <c r="J1232" s="16" t="s">
        <v>3692</v>
      </c>
      <c r="K1232" s="8"/>
      <c r="L1232" s="78">
        <v>14</v>
      </c>
      <c r="M1232" s="394">
        <f>IFERROR(EDATE(N1232,-3),"Invalid procurement method or date entered")</f>
        <v>43946</v>
      </c>
      <c r="N1232" s="346">
        <f>IFERROR(EDATE(O1232,-L1232),"Invalid procurement method or date entered")</f>
        <v>44037</v>
      </c>
      <c r="O1232" s="328">
        <v>44464</v>
      </c>
      <c r="P1232" s="43">
        <v>48</v>
      </c>
      <c r="Q1232" s="153" t="s">
        <v>298</v>
      </c>
      <c r="R1232" s="153">
        <v>200000</v>
      </c>
      <c r="S1232" s="153" t="s">
        <v>98</v>
      </c>
      <c r="T1232" s="184" t="s">
        <v>41</v>
      </c>
      <c r="U1232" s="184" t="s">
        <v>4182</v>
      </c>
      <c r="V1232" s="184"/>
      <c r="W1232" s="8" t="s">
        <v>1302</v>
      </c>
      <c r="X1232" s="95" t="s">
        <v>150</v>
      </c>
      <c r="Y1232" s="95" t="s">
        <v>39</v>
      </c>
      <c r="Z1232" s="95"/>
      <c r="AA1232" s="369" t="s">
        <v>40</v>
      </c>
      <c r="AB1232" s="837" t="s">
        <v>41</v>
      </c>
      <c r="AC1232" s="390">
        <v>44400</v>
      </c>
      <c r="AD1232" s="390"/>
      <c r="AE1232" s="390"/>
    </row>
    <row r="1233" spans="1:31" ht="26.4">
      <c r="A1233" s="852"/>
      <c r="B1233" s="520" t="s">
        <v>48</v>
      </c>
      <c r="C1233" s="465" t="s">
        <v>125</v>
      </c>
      <c r="D1233" s="466" t="s">
        <v>92</v>
      </c>
      <c r="E1233" s="466"/>
      <c r="F1233" s="466"/>
      <c r="G1233" s="466"/>
      <c r="H1233" s="466" t="s">
        <v>2129</v>
      </c>
      <c r="I1233" s="474" t="s">
        <v>64</v>
      </c>
      <c r="J1233" s="549" t="s">
        <v>2337</v>
      </c>
      <c r="K1233" s="484"/>
      <c r="L1233" s="466">
        <v>12</v>
      </c>
      <c r="M1233" s="469">
        <f>IF(O1233="tbc","",(IFERROR(EDATE($N1233,-3),"Invalid procurement method or date entered")))</f>
        <v>44007</v>
      </c>
      <c r="N1233" s="469">
        <f>IF(O1233="tbc","",(IFERROR(EDATE(O1233,-L1233),"Invalid procurement method or date entered")))</f>
        <v>44099</v>
      </c>
      <c r="O1233" s="507">
        <v>44464</v>
      </c>
      <c r="P1233" s="491">
        <v>48</v>
      </c>
      <c r="Q1233" s="491">
        <v>48</v>
      </c>
      <c r="R1233" s="493">
        <v>17800000</v>
      </c>
      <c r="S1233" s="491" t="s">
        <v>66</v>
      </c>
      <c r="T1233" s="491" t="s">
        <v>125</v>
      </c>
      <c r="U1233" s="469" t="s">
        <v>125</v>
      </c>
      <c r="V1233" s="469"/>
      <c r="W1233" s="466"/>
    </row>
    <row r="1234" spans="1:31" ht="66">
      <c r="A1234" s="852"/>
      <c r="B1234" s="520" t="s">
        <v>48</v>
      </c>
      <c r="C1234" s="465" t="s">
        <v>125</v>
      </c>
      <c r="D1234" s="465" t="s">
        <v>48</v>
      </c>
      <c r="E1234" s="465"/>
      <c r="F1234" s="465"/>
      <c r="G1234" s="465"/>
      <c r="H1234" s="466" t="s">
        <v>60</v>
      </c>
      <c r="I1234" s="474" t="s">
        <v>34</v>
      </c>
      <c r="J1234" s="1024" t="s">
        <v>2437</v>
      </c>
      <c r="K1234" s="484"/>
      <c r="L1234" s="466">
        <v>3</v>
      </c>
      <c r="M1234" s="469">
        <f>IF(O1234="tbc","",(IFERROR(EDATE($N1234,-3),"Invalid procurement method or date entered")))</f>
        <v>44282</v>
      </c>
      <c r="N1234" s="469">
        <f>IF(O1234="tbc","",(IFERROR(EDATE(O1234,-L1234),"Invalid procurement method or date entered")))</f>
        <v>44374</v>
      </c>
      <c r="O1234" s="489">
        <v>44466</v>
      </c>
      <c r="P1234" s="465">
        <v>1</v>
      </c>
      <c r="Q1234" s="490">
        <v>1</v>
      </c>
      <c r="R1234" s="483">
        <v>25000</v>
      </c>
      <c r="S1234" s="508" t="s">
        <v>129</v>
      </c>
      <c r="T1234" s="509" t="s">
        <v>125</v>
      </c>
      <c r="U1234" s="470" t="s">
        <v>125</v>
      </c>
      <c r="V1234" s="470"/>
      <c r="W1234" s="577"/>
    </row>
    <row r="1235" spans="1:31" ht="288">
      <c r="A1235" s="852"/>
      <c r="B1235" s="1351" t="s">
        <v>28</v>
      </c>
      <c r="C1235" s="4" t="s">
        <v>35</v>
      </c>
      <c r="D1235" s="9" t="s">
        <v>29</v>
      </c>
      <c r="E1235" s="9"/>
      <c r="F1235" s="9"/>
      <c r="G1235" s="9"/>
      <c r="H1235" s="9" t="s">
        <v>1292</v>
      </c>
      <c r="I1235" s="9" t="s">
        <v>64</v>
      </c>
      <c r="J1235" s="16" t="s">
        <v>905</v>
      </c>
      <c r="K1235" s="8"/>
      <c r="L1235" s="5" t="e">
        <f>IF(OR(S1235=#REF!,S1235=#REF!,S1235=#REF!,S1235=#REF!,S1235=#REF!,S1235=#REF!,S1235=#REF!,S1235=#REF!),12,IF(OR(S1235=#REF!,S1235=#REF!,S1235=#REF!,S1235=#REF!,S1235=#REF!,S1235=#REF!,S1235=#REF!),3,IF(S1235=#REF!,1,IF(S1235=#REF!,18,IF(OR(S1235=#REF!,S1235=#REF!,S1235=#REF!,S1235=#REF!,S1235=#REF!),14,"Invalid proposed procurement method")))))</f>
        <v>#REF!</v>
      </c>
      <c r="M1235" s="193" t="str">
        <f>IFERROR(EDATE($N1235,-3),"Invalid procurement method or date entered")</f>
        <v>Invalid procurement method or date entered</v>
      </c>
      <c r="N1235" s="193" t="str">
        <f t="shared" ref="N1235:N1247" si="27">IFERROR(EDATE(O1235,-L1235),"Invalid procurement method or date entered")</f>
        <v>Invalid procurement method or date entered</v>
      </c>
      <c r="O1235" s="207">
        <v>44470</v>
      </c>
      <c r="P1235" s="9" t="s">
        <v>35</v>
      </c>
      <c r="Q1235" s="258" t="s">
        <v>35</v>
      </c>
      <c r="R1235" s="18" t="s">
        <v>35</v>
      </c>
      <c r="S1235" s="1335" t="s">
        <v>98</v>
      </c>
      <c r="T1235" s="47" t="s">
        <v>4183</v>
      </c>
      <c r="U1235" s="203">
        <v>44431</v>
      </c>
      <c r="V1235" s="203"/>
      <c r="W1235" s="9" t="s">
        <v>906</v>
      </c>
      <c r="X1235" s="74" t="s">
        <v>1088</v>
      </c>
      <c r="Y1235" s="74" t="s">
        <v>59</v>
      </c>
      <c r="Z1235" s="74" t="s">
        <v>40</v>
      </c>
      <c r="AA1235" s="819" t="s">
        <v>41</v>
      </c>
      <c r="AB1235" s="316" t="s">
        <v>1245</v>
      </c>
      <c r="AC1235" s="747" t="s">
        <v>4184</v>
      </c>
      <c r="AD1235" s="70" t="s">
        <v>81</v>
      </c>
      <c r="AE1235" s="204"/>
    </row>
    <row r="1236" spans="1:31" ht="72">
      <c r="A1236" s="889"/>
      <c r="B1236" s="1351" t="s">
        <v>28</v>
      </c>
      <c r="C1236" s="10" t="s">
        <v>131</v>
      </c>
      <c r="D1236" s="728" t="s">
        <v>29</v>
      </c>
      <c r="E1236" s="728"/>
      <c r="F1236" s="728"/>
      <c r="G1236" s="728"/>
      <c r="H1236" s="728" t="s">
        <v>70</v>
      </c>
      <c r="I1236" s="55" t="s">
        <v>34</v>
      </c>
      <c r="J1236" s="743" t="s">
        <v>132</v>
      </c>
      <c r="K1236" s="743"/>
      <c r="L1236" s="55" t="e">
        <f>IF(OR(S1236=#REF!,S1236=#REF!,S1236=#REF!,S1236=#REF!,S1236=#REF!,S1236=#REF!,S1236=#REF!,S1236=#REF!),12,IF(OR(S1236=#REF!,S1236=#REF!,S1236=#REF!,S1236=#REF!,S1236=#REF!,S1236=#REF!,S1236=#REF!),3,IF(S1236=#REF!,1,IF(S1236=#REF!,18,IF(OR(S1236=#REF!,S1236=#REF!,S1236=#REF!,S1236=#REF!,S1236=#REF!),14,"Invalid proposed procurement method")))))</f>
        <v>#REF!</v>
      </c>
      <c r="M1236" s="199" t="str">
        <f>IFERROR(EDATE($N1236,-3),"Invalid procurement method or date entered")</f>
        <v>Invalid procurement method or date entered</v>
      </c>
      <c r="N1236" s="199" t="str">
        <f t="shared" si="27"/>
        <v>Invalid procurement method or date entered</v>
      </c>
      <c r="O1236" s="1141">
        <v>44470</v>
      </c>
      <c r="P1236" s="1158">
        <v>48</v>
      </c>
      <c r="Q1236" s="1168" t="s">
        <v>648</v>
      </c>
      <c r="R1236" s="195">
        <v>108667.25</v>
      </c>
      <c r="S1236" s="55" t="s">
        <v>109</v>
      </c>
      <c r="T1236" s="1205" t="s">
        <v>36</v>
      </c>
      <c r="U1236" s="48" t="s">
        <v>43</v>
      </c>
      <c r="V1236" s="1205"/>
      <c r="W1236" s="55" t="s">
        <v>1290</v>
      </c>
      <c r="X1236" s="74" t="s">
        <v>1091</v>
      </c>
      <c r="Y1236" s="74" t="s">
        <v>457</v>
      </c>
      <c r="Z1236" s="74" t="s">
        <v>40</v>
      </c>
      <c r="AA1236" s="819" t="s">
        <v>41</v>
      </c>
      <c r="AB1236" s="316" t="s">
        <v>1263</v>
      </c>
      <c r="AC1236" s="747" t="s">
        <v>4185</v>
      </c>
      <c r="AD1236" s="74" t="s">
        <v>101</v>
      </c>
      <c r="AE1236" s="864">
        <v>27166</v>
      </c>
    </row>
    <row r="1237" spans="1:31" ht="86.4">
      <c r="A1237" s="888"/>
      <c r="B1237" s="1351" t="s">
        <v>28</v>
      </c>
      <c r="C1237" s="16" t="s">
        <v>4186</v>
      </c>
      <c r="D1237" s="9" t="s">
        <v>92</v>
      </c>
      <c r="E1237" s="9"/>
      <c r="F1237" s="9"/>
      <c r="G1237" s="9"/>
      <c r="H1237" s="5" t="s">
        <v>70</v>
      </c>
      <c r="I1237" s="5" t="s">
        <v>64</v>
      </c>
      <c r="J1237" s="16" t="s">
        <v>169</v>
      </c>
      <c r="K1237" s="8"/>
      <c r="L1237" s="5" t="e">
        <f>IF(OR(S1237=#REF!,S1237=#REF!,S1237=#REF!,S1237=#REF!,S1237=#REF!,S1237=#REF!,S1237=#REF!,S1237=#REF!),12,IF(OR(S1237=#REF!,S1237=#REF!,S1237=#REF!,S1237=#REF!,S1237=#REF!,S1237=#REF!,S1237=#REF!),3,IF(S1237=#REF!,1,IF(S1237=#REF!,18,IF(OR(S1237=#REF!,S1237=#REF!,S1237=#REF!,S1237=#REF!,S1237=#REF!),14,"Invalid proposed procurement method")))))</f>
        <v>#REF!</v>
      </c>
      <c r="M1237" s="193" t="str">
        <f>IFERROR(EDATE($N1237,-3),"Invalid procurement method or date entered")</f>
        <v>Invalid procurement method or date entered</v>
      </c>
      <c r="N1237" s="193" t="str">
        <f t="shared" si="27"/>
        <v>Invalid procurement method or date entered</v>
      </c>
      <c r="O1237" s="193">
        <v>44470</v>
      </c>
      <c r="P1237" s="5">
        <v>120</v>
      </c>
      <c r="Q1237" s="7" t="s">
        <v>4187</v>
      </c>
      <c r="R1237" s="18">
        <v>50000</v>
      </c>
      <c r="S1237" s="5" t="s">
        <v>66</v>
      </c>
      <c r="T1237" s="48" t="s">
        <v>36</v>
      </c>
      <c r="U1237" s="48" t="s">
        <v>37</v>
      </c>
      <c r="V1237" s="48"/>
      <c r="W1237" s="5" t="s">
        <v>1290</v>
      </c>
      <c r="X1237" s="74" t="s">
        <v>1088</v>
      </c>
      <c r="Y1237" s="74" t="s">
        <v>457</v>
      </c>
      <c r="Z1237" s="74" t="s">
        <v>40</v>
      </c>
      <c r="AA1237" s="74" t="s">
        <v>41</v>
      </c>
      <c r="AB1237" s="316" t="s">
        <v>1263</v>
      </c>
      <c r="AC1237" s="95" t="s">
        <v>4188</v>
      </c>
      <c r="AD1237" s="74" t="s">
        <v>101</v>
      </c>
      <c r="AE1237" s="204">
        <v>5000</v>
      </c>
    </row>
    <row r="1238" spans="1:31" ht="43.2">
      <c r="A1238" s="888"/>
      <c r="B1238" s="323" t="s">
        <v>145</v>
      </c>
      <c r="C1238" s="323"/>
      <c r="D1238" s="8" t="s">
        <v>92</v>
      </c>
      <c r="E1238" s="8"/>
      <c r="F1238" s="8"/>
      <c r="G1238" s="8"/>
      <c r="H1238" s="8" t="s">
        <v>148</v>
      </c>
      <c r="I1238" s="8" t="s">
        <v>34</v>
      </c>
      <c r="J1238" s="16" t="s">
        <v>705</v>
      </c>
      <c r="K1238" s="8"/>
      <c r="L1238" s="78">
        <v>14</v>
      </c>
      <c r="M1238" s="394">
        <f>IFERROR(EDATE(N1238,-3),"Invalid procurement method or date entered")</f>
        <v>43952</v>
      </c>
      <c r="N1238" s="346">
        <f t="shared" si="27"/>
        <v>44044</v>
      </c>
      <c r="O1238" s="328">
        <v>44470</v>
      </c>
      <c r="P1238" s="329">
        <v>48</v>
      </c>
      <c r="Q1238" s="329" t="s">
        <v>298</v>
      </c>
      <c r="R1238" s="153">
        <v>1939200</v>
      </c>
      <c r="S1238" s="153" t="s">
        <v>607</v>
      </c>
      <c r="T1238" s="326" t="s">
        <v>41</v>
      </c>
      <c r="U1238" s="348">
        <v>43840</v>
      </c>
      <c r="V1238" s="348"/>
      <c r="W1238" s="8" t="s">
        <v>556</v>
      </c>
      <c r="X1238" s="95" t="s">
        <v>254</v>
      </c>
      <c r="Y1238" s="95" t="s">
        <v>39</v>
      </c>
      <c r="Z1238" s="95"/>
      <c r="AA1238" s="369" t="s">
        <v>40</v>
      </c>
      <c r="AB1238" s="837" t="s">
        <v>41</v>
      </c>
      <c r="AC1238" s="390">
        <v>44243</v>
      </c>
      <c r="AD1238" s="390"/>
      <c r="AE1238" s="390"/>
    </row>
    <row r="1239" spans="1:31" ht="72">
      <c r="A1239" s="888"/>
      <c r="B1239" s="4"/>
      <c r="C1239" s="4" t="s">
        <v>256</v>
      </c>
      <c r="D1239" s="9" t="s">
        <v>29</v>
      </c>
      <c r="E1239" s="9"/>
      <c r="F1239" s="9"/>
      <c r="G1239" s="9"/>
      <c r="H1239" s="5" t="s">
        <v>70</v>
      </c>
      <c r="I1239" s="9" t="s">
        <v>34</v>
      </c>
      <c r="J1239" s="16" t="s">
        <v>257</v>
      </c>
      <c r="K1239" s="16"/>
      <c r="L1239" s="5" t="e">
        <f>IF(OR(S1239=#REF!,S1239=#REF!,S1239=#REF!,S1239=#REF!,S1239=#REF!,S1239=#REF!,S1239=#REF!,S1239=#REF!),12,IF(OR(S1239=#REF!,S1239=#REF!,S1239=#REF!,S1239=#REF!,S1239=#REF!,S1239=#REF!,S1239=#REF!),3,IF(S1239=#REF!,1,IF(S1239=#REF!,18,IF(OR(S1239=#REF!,S1239=#REF!,S1239=#REF!,S1239=#REF!,S1239=#REF!),14,"Invalid proposed procurement method")))))</f>
        <v>#REF!</v>
      </c>
      <c r="M1239" s="193" t="str">
        <f>IFERROR(EDATE($N1239,-3),"Invalid procurement method or date entered")</f>
        <v>Invalid procurement method or date entered</v>
      </c>
      <c r="N1239" s="193" t="str">
        <f t="shared" si="27"/>
        <v>Invalid procurement method or date entered</v>
      </c>
      <c r="O1239" s="46">
        <v>44470</v>
      </c>
      <c r="P1239" s="15">
        <v>60</v>
      </c>
      <c r="Q1239" s="15" t="s">
        <v>162</v>
      </c>
      <c r="R1239" s="18">
        <v>71000</v>
      </c>
      <c r="S1239" s="5" t="s">
        <v>109</v>
      </c>
      <c r="T1239" s="49" t="s">
        <v>36</v>
      </c>
      <c r="U1239" s="45" t="s">
        <v>43</v>
      </c>
      <c r="V1239" s="45"/>
      <c r="W1239" s="9" t="s">
        <v>878</v>
      </c>
      <c r="X1239" s="819" t="s">
        <v>90</v>
      </c>
      <c r="Y1239" s="74" t="s">
        <v>59</v>
      </c>
      <c r="Z1239" s="74" t="s">
        <v>95</v>
      </c>
      <c r="AA1239" s="819" t="s">
        <v>41</v>
      </c>
      <c r="AB1239" s="1369" t="s">
        <v>1253</v>
      </c>
      <c r="AC1239" s="747" t="s">
        <v>399</v>
      </c>
      <c r="AD1239" s="70" t="s">
        <v>259</v>
      </c>
      <c r="AE1239" s="306">
        <v>15000</v>
      </c>
    </row>
    <row r="1240" spans="1:31" ht="72">
      <c r="A1240" s="888"/>
      <c r="B1240" s="1351"/>
      <c r="C1240" s="4" t="s">
        <v>276</v>
      </c>
      <c r="D1240" s="9" t="s">
        <v>29</v>
      </c>
      <c r="E1240" s="9"/>
      <c r="F1240" s="9"/>
      <c r="G1240" s="9"/>
      <c r="H1240" s="5" t="s">
        <v>81</v>
      </c>
      <c r="I1240" s="12" t="s">
        <v>34</v>
      </c>
      <c r="J1240" s="16" t="s">
        <v>277</v>
      </c>
      <c r="K1240" s="16"/>
      <c r="L1240" s="5" t="e">
        <f>IF(OR(S1240=#REF!,S1240=#REF!,S1240=#REF!,S1240=#REF!,S1240=#REF!,S1240=#REF!,S1240=#REF!,S1240=#REF!),12,IF(OR(S1240=#REF!,S1240=#REF!,S1240=#REF!,S1240=#REF!,S1240=#REF!,S1240=#REF!,S1240=#REF!),3,IF(S1240=#REF!,1,IF(S1240=#REF!,18,IF(OR(S1240=#REF!,S1240=#REF!,S1240=#REF!,S1240=#REF!,S1240=#REF!),14,"Invalid proposed procurement method")))))</f>
        <v>#REF!</v>
      </c>
      <c r="M1240" s="193" t="str">
        <f>IFERROR(EDATE($N1240,-3),"Invalid procurement method or date entered")</f>
        <v>Invalid procurement method or date entered</v>
      </c>
      <c r="N1240" s="193" t="str">
        <f t="shared" si="27"/>
        <v>Invalid procurement method or date entered</v>
      </c>
      <c r="O1240" s="176">
        <v>44470</v>
      </c>
      <c r="P1240" s="12">
        <v>60</v>
      </c>
      <c r="Q1240" s="12" t="s">
        <v>162</v>
      </c>
      <c r="R1240" s="56">
        <v>75000</v>
      </c>
      <c r="S1240" s="176" t="s">
        <v>163</v>
      </c>
      <c r="T1240" s="49" t="s">
        <v>36</v>
      </c>
      <c r="U1240" s="45" t="s">
        <v>37</v>
      </c>
      <c r="V1240" s="45"/>
      <c r="W1240" s="12" t="s">
        <v>278</v>
      </c>
      <c r="X1240" s="819" t="s">
        <v>90</v>
      </c>
      <c r="Y1240" s="826" t="s">
        <v>457</v>
      </c>
      <c r="Z1240" s="74" t="s">
        <v>40</v>
      </c>
      <c r="AA1240" s="70" t="s">
        <v>54</v>
      </c>
      <c r="AB1240" s="316" t="s">
        <v>1253</v>
      </c>
      <c r="AC1240" s="95" t="s">
        <v>4189</v>
      </c>
      <c r="AD1240" s="70" t="s">
        <v>81</v>
      </c>
      <c r="AE1240" s="204">
        <v>15000</v>
      </c>
    </row>
    <row r="1241" spans="1:31" ht="57.6">
      <c r="A1241" s="888"/>
      <c r="B1241" s="323" t="s">
        <v>145</v>
      </c>
      <c r="C1241" s="323"/>
      <c r="D1241" s="8" t="s">
        <v>82</v>
      </c>
      <c r="E1241" s="8"/>
      <c r="F1241" s="8"/>
      <c r="G1241" s="8"/>
      <c r="H1241" s="8" t="s">
        <v>148</v>
      </c>
      <c r="I1241" s="8" t="s">
        <v>34</v>
      </c>
      <c r="J1241" s="16" t="s">
        <v>4190</v>
      </c>
      <c r="K1241" s="8"/>
      <c r="L1241" s="78">
        <v>12</v>
      </c>
      <c r="M1241" s="394">
        <f t="shared" ref="M1241:M1246" si="28">IFERROR(EDATE(N1241,-3),"Invalid procurement method or date entered")</f>
        <v>44013</v>
      </c>
      <c r="N1241" s="346">
        <f t="shared" si="27"/>
        <v>44105</v>
      </c>
      <c r="O1241" s="328">
        <v>44470</v>
      </c>
      <c r="P1241" s="330">
        <v>24</v>
      </c>
      <c r="Q1241" s="330">
        <v>24</v>
      </c>
      <c r="R1241" s="153">
        <v>600000</v>
      </c>
      <c r="S1241" s="153" t="s">
        <v>163</v>
      </c>
      <c r="T1241" s="326" t="s">
        <v>41</v>
      </c>
      <c r="U1241" s="348" t="s">
        <v>4191</v>
      </c>
      <c r="V1241" s="348"/>
      <c r="W1241" s="8" t="s">
        <v>950</v>
      </c>
      <c r="X1241" s="95" t="s">
        <v>150</v>
      </c>
      <c r="Y1241" s="95" t="s">
        <v>39</v>
      </c>
      <c r="Z1241" s="95"/>
      <c r="AA1241" s="369" t="s">
        <v>80</v>
      </c>
      <c r="AB1241" s="837" t="s">
        <v>41</v>
      </c>
      <c r="AC1241" s="390">
        <v>44469</v>
      </c>
      <c r="AD1241" s="390"/>
      <c r="AE1241" s="390"/>
    </row>
    <row r="1242" spans="1:31" ht="100.8">
      <c r="A1242" s="888"/>
      <c r="B1242" s="323" t="s">
        <v>145</v>
      </c>
      <c r="C1242" s="349">
        <v>0</v>
      </c>
      <c r="D1242" s="8" t="s">
        <v>92</v>
      </c>
      <c r="E1242" s="8"/>
      <c r="F1242" s="8"/>
      <c r="G1242" s="8"/>
      <c r="H1242" s="8" t="s">
        <v>148</v>
      </c>
      <c r="I1242" s="8" t="s">
        <v>64</v>
      </c>
      <c r="J1242" s="16" t="s">
        <v>698</v>
      </c>
      <c r="K1242" s="8"/>
      <c r="L1242" s="78">
        <v>12</v>
      </c>
      <c r="M1242" s="394">
        <f t="shared" si="28"/>
        <v>44013</v>
      </c>
      <c r="N1242" s="346">
        <f t="shared" si="27"/>
        <v>44105</v>
      </c>
      <c r="O1242" s="328">
        <v>44470</v>
      </c>
      <c r="P1242" s="66">
        <v>84</v>
      </c>
      <c r="Q1242" s="66" t="s">
        <v>573</v>
      </c>
      <c r="R1242" s="153">
        <v>1727447.82</v>
      </c>
      <c r="S1242" s="5" t="s">
        <v>66</v>
      </c>
      <c r="T1242" s="326" t="s">
        <v>54</v>
      </c>
      <c r="U1242" s="326" t="s">
        <v>4192</v>
      </c>
      <c r="V1242" s="326"/>
      <c r="W1242" s="417" t="s">
        <v>3543</v>
      </c>
      <c r="X1242" s="95" t="s">
        <v>428</v>
      </c>
      <c r="Y1242" s="95" t="s">
        <v>782</v>
      </c>
      <c r="Z1242" s="95"/>
      <c r="AA1242" s="369" t="s">
        <v>80</v>
      </c>
      <c r="AB1242" s="837" t="s">
        <v>41</v>
      </c>
      <c r="AC1242" s="390">
        <v>44358</v>
      </c>
      <c r="AD1242" s="390"/>
      <c r="AE1242" s="390"/>
    </row>
    <row r="1243" spans="1:31" ht="72">
      <c r="A1243" s="888"/>
      <c r="B1243" s="323" t="s">
        <v>145</v>
      </c>
      <c r="C1243" s="325"/>
      <c r="D1243" s="8" t="s">
        <v>92</v>
      </c>
      <c r="E1243" s="8"/>
      <c r="F1243" s="8"/>
      <c r="G1243" s="8"/>
      <c r="H1243" s="8" t="s">
        <v>148</v>
      </c>
      <c r="I1243" s="8" t="s">
        <v>34</v>
      </c>
      <c r="J1243" s="16" t="s">
        <v>4193</v>
      </c>
      <c r="K1243" s="8"/>
      <c r="L1243" s="78">
        <v>12</v>
      </c>
      <c r="M1243" s="394">
        <f t="shared" si="28"/>
        <v>44013</v>
      </c>
      <c r="N1243" s="346">
        <f t="shared" si="27"/>
        <v>44105</v>
      </c>
      <c r="O1243" s="328">
        <v>44470</v>
      </c>
      <c r="P1243" s="329"/>
      <c r="Q1243" s="329"/>
      <c r="R1243" s="153">
        <v>65000</v>
      </c>
      <c r="S1243" s="153" t="s">
        <v>35</v>
      </c>
      <c r="T1243" s="319" t="s">
        <v>35</v>
      </c>
      <c r="U1243" s="319" t="s">
        <v>35</v>
      </c>
      <c r="V1243" s="319"/>
      <c r="W1243" s="8" t="s">
        <v>556</v>
      </c>
      <c r="X1243" s="95" t="s">
        <v>4194</v>
      </c>
      <c r="Y1243" s="95" t="s">
        <v>59</v>
      </c>
      <c r="Z1243" s="95"/>
      <c r="AA1243" s="369" t="s">
        <v>4195</v>
      </c>
      <c r="AB1243" s="358" t="s">
        <v>54</v>
      </c>
      <c r="AC1243" s="390">
        <v>44243</v>
      </c>
      <c r="AD1243" s="390"/>
      <c r="AE1243" s="390"/>
    </row>
    <row r="1244" spans="1:31" ht="57.6">
      <c r="A1244" s="895"/>
      <c r="B1244" s="323" t="s">
        <v>145</v>
      </c>
      <c r="C1244" s="323" t="s">
        <v>552</v>
      </c>
      <c r="D1244" s="78" t="s">
        <v>92</v>
      </c>
      <c r="E1244" s="78"/>
      <c r="F1244" s="78"/>
      <c r="G1244" s="78"/>
      <c r="H1244" s="78" t="s">
        <v>148</v>
      </c>
      <c r="I1244" s="78" t="s">
        <v>34</v>
      </c>
      <c r="J1244" s="1031" t="s">
        <v>554</v>
      </c>
      <c r="K1244" s="78"/>
      <c r="L1244" s="78">
        <v>12</v>
      </c>
      <c r="M1244" s="394">
        <f t="shared" si="28"/>
        <v>44013</v>
      </c>
      <c r="N1244" s="346">
        <f t="shared" si="27"/>
        <v>44105</v>
      </c>
      <c r="O1244" s="346">
        <v>44470</v>
      </c>
      <c r="P1244" s="412">
        <v>48</v>
      </c>
      <c r="Q1244" s="412" t="s">
        <v>298</v>
      </c>
      <c r="R1244" s="393">
        <v>403000</v>
      </c>
      <c r="S1244" s="393" t="s">
        <v>163</v>
      </c>
      <c r="T1244" s="326" t="s">
        <v>41</v>
      </c>
      <c r="U1244" s="326" t="s">
        <v>4196</v>
      </c>
      <c r="V1244" s="326"/>
      <c r="W1244" s="78" t="s">
        <v>644</v>
      </c>
      <c r="X1244" s="451" t="s">
        <v>184</v>
      </c>
      <c r="Y1244" s="451" t="s">
        <v>59</v>
      </c>
      <c r="Z1244" s="451"/>
      <c r="AA1244" s="369" t="s">
        <v>40</v>
      </c>
      <c r="AB1244" s="837" t="s">
        <v>41</v>
      </c>
      <c r="AC1244" s="395">
        <v>44539</v>
      </c>
      <c r="AD1244" s="395"/>
      <c r="AE1244" s="395"/>
    </row>
    <row r="1245" spans="1:31" ht="57.6">
      <c r="A1245" s="888"/>
      <c r="B1245" s="194" t="s">
        <v>145</v>
      </c>
      <c r="C1245" s="194" t="s">
        <v>35</v>
      </c>
      <c r="D1245" s="181" t="s">
        <v>82</v>
      </c>
      <c r="E1245" s="181"/>
      <c r="F1245" s="181"/>
      <c r="G1245" s="181"/>
      <c r="H1245" s="743" t="s">
        <v>148</v>
      </c>
      <c r="I1245" s="743" t="s">
        <v>64</v>
      </c>
      <c r="J1245" s="743" t="s">
        <v>4197</v>
      </c>
      <c r="K1245" s="181"/>
      <c r="L1245" s="55">
        <v>12</v>
      </c>
      <c r="M1245" s="199">
        <f t="shared" si="28"/>
        <v>44013</v>
      </c>
      <c r="N1245" s="1139">
        <f t="shared" si="27"/>
        <v>44105</v>
      </c>
      <c r="O1245" s="759">
        <v>44470</v>
      </c>
      <c r="P1245" s="1163" t="s">
        <v>100</v>
      </c>
      <c r="Q1245" s="1163" t="s">
        <v>100</v>
      </c>
      <c r="R1245" s="786">
        <v>204833</v>
      </c>
      <c r="S1245" s="786" t="s">
        <v>35</v>
      </c>
      <c r="T1245" s="1209" t="s">
        <v>41</v>
      </c>
      <c r="U1245" s="1212">
        <v>44208</v>
      </c>
      <c r="V1245" s="1212"/>
      <c r="W1245" s="181" t="s">
        <v>950</v>
      </c>
      <c r="X1245" s="105" t="s">
        <v>428</v>
      </c>
      <c r="Y1245" s="105" t="s">
        <v>39</v>
      </c>
      <c r="Z1245" s="105"/>
      <c r="AA1245" s="829" t="s">
        <v>80</v>
      </c>
      <c r="AB1245" s="839" t="s">
        <v>41</v>
      </c>
      <c r="AC1245" s="390">
        <v>44638</v>
      </c>
      <c r="AD1245" s="390"/>
      <c r="AE1245" s="390"/>
    </row>
    <row r="1246" spans="1:31" ht="57.6">
      <c r="A1246" s="888"/>
      <c r="B1246" s="194" t="s">
        <v>145</v>
      </c>
      <c r="C1246" s="194" t="s">
        <v>35</v>
      </c>
      <c r="D1246" s="8" t="s">
        <v>82</v>
      </c>
      <c r="E1246" s="8"/>
      <c r="F1246" s="8"/>
      <c r="G1246" s="8"/>
      <c r="H1246" s="16" t="s">
        <v>148</v>
      </c>
      <c r="I1246" s="16" t="s">
        <v>64</v>
      </c>
      <c r="J1246" s="16" t="s">
        <v>4198</v>
      </c>
      <c r="K1246" s="8"/>
      <c r="L1246" s="5">
        <v>12</v>
      </c>
      <c r="M1246" s="193">
        <f t="shared" si="28"/>
        <v>44013</v>
      </c>
      <c r="N1246" s="143">
        <f t="shared" si="27"/>
        <v>44105</v>
      </c>
      <c r="O1246" s="328">
        <v>44470</v>
      </c>
      <c r="P1246" s="330">
        <v>84</v>
      </c>
      <c r="Q1246" s="330" t="s">
        <v>4199</v>
      </c>
      <c r="R1246" s="153">
        <v>9763789</v>
      </c>
      <c r="S1246" s="153" t="s">
        <v>66</v>
      </c>
      <c r="T1246" s="355" t="s">
        <v>41</v>
      </c>
      <c r="U1246" s="353" t="s">
        <v>4200</v>
      </c>
      <c r="V1246" s="353"/>
      <c r="W1246" s="8" t="s">
        <v>950</v>
      </c>
      <c r="X1246" s="105" t="s">
        <v>428</v>
      </c>
      <c r="Y1246" s="105" t="s">
        <v>39</v>
      </c>
      <c r="Z1246" s="105"/>
      <c r="AA1246" s="829" t="s">
        <v>80</v>
      </c>
      <c r="AB1246" s="839" t="s">
        <v>41</v>
      </c>
      <c r="AC1246" s="390">
        <v>44638</v>
      </c>
      <c r="AD1246" s="390"/>
      <c r="AE1246" s="390"/>
    </row>
    <row r="1247" spans="1:31" ht="72">
      <c r="A1247" s="888"/>
      <c r="B1247" s="1351" t="s">
        <v>28</v>
      </c>
      <c r="C1247" s="4" t="s">
        <v>35</v>
      </c>
      <c r="D1247" s="9" t="s">
        <v>60</v>
      </c>
      <c r="E1247" s="9"/>
      <c r="F1247" s="9"/>
      <c r="G1247" s="9"/>
      <c r="H1247" s="9" t="s">
        <v>171</v>
      </c>
      <c r="I1247" s="15" t="s">
        <v>34</v>
      </c>
      <c r="J1247" s="16" t="s">
        <v>4201</v>
      </c>
      <c r="K1247" s="16"/>
      <c r="L1247" s="5" t="e">
        <f>IF(OR(S1247=#REF!,S1247=#REF!,S1247=#REF!,S1247=#REF!,S1247=#REF!,S1247=#REF!,S1247=#REF!,S1247=#REF!),12,IF(OR(S1247=#REF!,S1247=#REF!,S1247=#REF!,S1247=#REF!,S1247=#REF!,S1247=#REF!,S1247=#REF!),3,IF(S1247=#REF!,1,IF(S1247=#REF!,18,IF(OR(S1247=#REF!,S1247=#REF!,S1247=#REF!,S1247=#REF!,S1247=#REF!),14,"Invalid proposed procurement method")))))</f>
        <v>#REF!</v>
      </c>
      <c r="M1247" s="193" t="str">
        <f>IFERROR(EDATE($N1247,-3),"Invalid procurement method or date entered")</f>
        <v>Invalid procurement method or date entered</v>
      </c>
      <c r="N1247" s="193" t="str">
        <f t="shared" si="27"/>
        <v>Invalid procurement method or date entered</v>
      </c>
      <c r="O1247" s="176">
        <v>44470</v>
      </c>
      <c r="P1247" s="12">
        <v>12</v>
      </c>
      <c r="Q1247" s="12">
        <v>12</v>
      </c>
      <c r="R1247" s="89">
        <v>145000</v>
      </c>
      <c r="S1247" s="5" t="s">
        <v>173</v>
      </c>
      <c r="T1247" s="50" t="s">
        <v>144</v>
      </c>
      <c r="U1247" s="50">
        <v>43739</v>
      </c>
      <c r="V1247" s="50"/>
      <c r="W1247" s="5" t="s">
        <v>4202</v>
      </c>
      <c r="X1247" s="819" t="s">
        <v>90</v>
      </c>
      <c r="Y1247" s="74" t="s">
        <v>59</v>
      </c>
      <c r="Z1247" s="74" t="s">
        <v>40</v>
      </c>
      <c r="AA1247" s="74" t="s">
        <v>41</v>
      </c>
      <c r="AB1247" s="316">
        <v>44664</v>
      </c>
      <c r="AC1247" s="847" t="s">
        <v>4203</v>
      </c>
      <c r="AD1247" s="70" t="s">
        <v>171</v>
      </c>
      <c r="AE1247" s="204">
        <v>145000</v>
      </c>
    </row>
    <row r="1248" spans="1:31" ht="52.8">
      <c r="A1248" s="852"/>
      <c r="B1248" s="520" t="s">
        <v>48</v>
      </c>
      <c r="C1248" s="466" t="s">
        <v>125</v>
      </c>
      <c r="D1248" s="466" t="s">
        <v>60</v>
      </c>
      <c r="E1248" s="466"/>
      <c r="F1248" s="466"/>
      <c r="G1248" s="466"/>
      <c r="H1248" s="466" t="s">
        <v>127</v>
      </c>
      <c r="I1248" s="474" t="s">
        <v>34</v>
      </c>
      <c r="J1248" s="1024" t="s">
        <v>2340</v>
      </c>
      <c r="K1248" s="467"/>
      <c r="L1248" s="466">
        <v>3</v>
      </c>
      <c r="M1248" s="469">
        <f>IF(O1248="tbc","",(IFERROR(EDATE($N1248,-3),"Invalid procurement method or date entered")))</f>
        <v>44287</v>
      </c>
      <c r="N1248" s="469">
        <f>IF(O1248="tbc","",(IFERROR(EDATE(O1248,-L1248),"Invalid procurement method or date entered")))</f>
        <v>44378</v>
      </c>
      <c r="O1248" s="470">
        <v>44470</v>
      </c>
      <c r="P1248" s="471" t="s">
        <v>125</v>
      </c>
      <c r="Q1248" s="474" t="s">
        <v>125</v>
      </c>
      <c r="R1248" s="483">
        <v>25000</v>
      </c>
      <c r="S1248" s="470" t="s">
        <v>163</v>
      </c>
      <c r="T1248" s="470" t="s">
        <v>36</v>
      </c>
      <c r="U1248" s="466" t="s">
        <v>125</v>
      </c>
      <c r="V1248" s="466"/>
      <c r="W1248" s="466"/>
    </row>
    <row r="1249" spans="1:32" ht="52.8">
      <c r="A1249" s="852"/>
      <c r="B1249" s="520" t="s">
        <v>48</v>
      </c>
      <c r="C1249" s="465" t="s">
        <v>2352</v>
      </c>
      <c r="D1249" s="466" t="s">
        <v>60</v>
      </c>
      <c r="E1249" s="466"/>
      <c r="F1249" s="466"/>
      <c r="G1249" s="466"/>
      <c r="H1249" s="466" t="s">
        <v>127</v>
      </c>
      <c r="I1249" s="474" t="s">
        <v>34</v>
      </c>
      <c r="J1249" s="549" t="s">
        <v>2353</v>
      </c>
      <c r="K1249" s="484"/>
      <c r="L1249" s="466">
        <v>1</v>
      </c>
      <c r="M1249" s="469">
        <f>IF(O1249="tbc","",(IFERROR(EDATE($N1249,-3),"Invalid procurement method or date entered")))</f>
        <v>44348</v>
      </c>
      <c r="N1249" s="469">
        <f>IF(O1249="tbc","",(IFERROR(EDATE(O1249,-L1249),"Invalid procurement method or date entered")))</f>
        <v>44440</v>
      </c>
      <c r="O1249" s="469">
        <v>44470</v>
      </c>
      <c r="P1249" s="491" t="s">
        <v>125</v>
      </c>
      <c r="Q1249" s="491" t="s">
        <v>125</v>
      </c>
      <c r="R1249" s="493">
        <v>75000</v>
      </c>
      <c r="S1249" s="491" t="s">
        <v>163</v>
      </c>
      <c r="T1249" s="491" t="s">
        <v>36</v>
      </c>
      <c r="U1249" s="469">
        <v>43700</v>
      </c>
      <c r="V1249" s="469"/>
      <c r="W1249" s="513" t="s">
        <v>1304</v>
      </c>
    </row>
    <row r="1250" spans="1:32" ht="66">
      <c r="A1250" s="852"/>
      <c r="B1250" s="520" t="s">
        <v>48</v>
      </c>
      <c r="C1250" s="466" t="s">
        <v>125</v>
      </c>
      <c r="D1250" s="465" t="s">
        <v>48</v>
      </c>
      <c r="E1250" s="465"/>
      <c r="F1250" s="465"/>
      <c r="G1250" s="465"/>
      <c r="H1250" s="510" t="s">
        <v>214</v>
      </c>
      <c r="I1250" s="474" t="s">
        <v>34</v>
      </c>
      <c r="J1250" s="1024" t="s">
        <v>2440</v>
      </c>
      <c r="K1250" s="744"/>
      <c r="L1250" s="466">
        <v>3</v>
      </c>
      <c r="M1250" s="469">
        <f>IF(O1250="tbc","",(IFERROR(EDATE($N1250,-3),"Invalid procurement method or date entered")))</f>
        <v>44287</v>
      </c>
      <c r="N1250" s="469">
        <f>IF(O1250="tbc","",(IFERROR(EDATE(O1250,-L1250),"Invalid procurement method or date entered")))</f>
        <v>44378</v>
      </c>
      <c r="O1250" s="470">
        <v>44470</v>
      </c>
      <c r="P1250" s="471" t="s">
        <v>125</v>
      </c>
      <c r="Q1250" s="474" t="s">
        <v>125</v>
      </c>
      <c r="R1250" s="483">
        <v>650000</v>
      </c>
      <c r="S1250" s="470" t="s">
        <v>129</v>
      </c>
      <c r="T1250" s="470" t="s">
        <v>36</v>
      </c>
      <c r="U1250" s="466" t="s">
        <v>125</v>
      </c>
      <c r="V1250" s="466"/>
      <c r="W1250" s="466"/>
    </row>
    <row r="1251" spans="1:32" ht="145.19999999999999">
      <c r="A1251" s="852"/>
      <c r="B1251" s="520" t="s">
        <v>48</v>
      </c>
      <c r="C1251" s="512" t="s">
        <v>2441</v>
      </c>
      <c r="D1251" s="512" t="s">
        <v>48</v>
      </c>
      <c r="E1251" s="512"/>
      <c r="F1251" s="512"/>
      <c r="G1251" s="512"/>
      <c r="H1251" s="513" t="s">
        <v>214</v>
      </c>
      <c r="I1251" s="512" t="s">
        <v>34</v>
      </c>
      <c r="J1251" s="1040" t="s">
        <v>2442</v>
      </c>
      <c r="K1251" s="745"/>
      <c r="L1251" s="513">
        <v>3</v>
      </c>
      <c r="M1251" s="515">
        <f>IF(O1251="tbc","",(IFERROR(EDATE($N1251,-3),"Invalid procurement method or date entered")))</f>
        <v>44287</v>
      </c>
      <c r="N1251" s="515">
        <f>IF(O1251="tbc","",(IFERROR(EDATE(O1251,-L1251),"Invalid procurement method or date entered")))</f>
        <v>44378</v>
      </c>
      <c r="O1251" s="516">
        <v>44470</v>
      </c>
      <c r="P1251" s="517" t="s">
        <v>125</v>
      </c>
      <c r="Q1251" s="517" t="s">
        <v>125</v>
      </c>
      <c r="R1251" s="518">
        <v>176000</v>
      </c>
      <c r="S1251" s="519" t="s">
        <v>129</v>
      </c>
      <c r="T1251" s="519" t="s">
        <v>36</v>
      </c>
      <c r="U1251" s="519" t="s">
        <v>125</v>
      </c>
      <c r="V1251" s="519"/>
      <c r="W1251" s="512" t="s">
        <v>2190</v>
      </c>
    </row>
    <row r="1252" spans="1:32" ht="52.8">
      <c r="A1252" s="852"/>
      <c r="B1252" s="520" t="s">
        <v>48</v>
      </c>
      <c r="C1252" s="465" t="s">
        <v>2456</v>
      </c>
      <c r="D1252" s="495" t="s">
        <v>29</v>
      </c>
      <c r="E1252" s="495"/>
      <c r="F1252" s="495"/>
      <c r="G1252" s="495"/>
      <c r="H1252" s="495" t="s">
        <v>49</v>
      </c>
      <c r="I1252" s="498" t="s">
        <v>34</v>
      </c>
      <c r="J1252" s="1045" t="s">
        <v>2457</v>
      </c>
      <c r="K1252" s="1117"/>
      <c r="L1252" s="495">
        <v>12</v>
      </c>
      <c r="M1252" s="496">
        <f>IF(O1252="tbc","",(IFERROR(EDATE($N1252,-3),"Invalid procurement method or date entered")))</f>
        <v>44013</v>
      </c>
      <c r="N1252" s="496">
        <f>IF(O1252="tbc","",(IFERROR(EDATE(O1252,-L1252),"Invalid procurement method or date entered")))</f>
        <v>44105</v>
      </c>
      <c r="O1252" s="497">
        <v>44470</v>
      </c>
      <c r="P1252" s="568">
        <v>12</v>
      </c>
      <c r="Q1252" s="568">
        <v>12</v>
      </c>
      <c r="R1252" s="758">
        <f>150000+330000+170000</f>
        <v>650000</v>
      </c>
      <c r="S1252" s="470" t="s">
        <v>173</v>
      </c>
      <c r="T1252" s="497" t="s">
        <v>144</v>
      </c>
      <c r="U1252" s="470" t="s">
        <v>125</v>
      </c>
      <c r="V1252" s="497"/>
      <c r="W1252" s="1218" t="s">
        <v>1304</v>
      </c>
    </row>
    <row r="1253" spans="1:32" ht="41.4">
      <c r="A1253" s="695" t="s">
        <v>43</v>
      </c>
      <c r="B1253" s="620" t="s">
        <v>28</v>
      </c>
      <c r="C1253" s="641" t="s">
        <v>35</v>
      </c>
      <c r="D1253" s="666" t="s">
        <v>29</v>
      </c>
      <c r="E1253" s="638" t="s">
        <v>30</v>
      </c>
      <c r="F1253" s="628" t="s">
        <v>86</v>
      </c>
      <c r="G1253" s="666" t="s">
        <v>180</v>
      </c>
      <c r="H1253" s="628" t="s">
        <v>70</v>
      </c>
      <c r="I1253" s="628" t="s">
        <v>34</v>
      </c>
      <c r="J1253" s="1048" t="s">
        <v>1219</v>
      </c>
      <c r="K1253" s="628"/>
      <c r="L1253" s="628">
        <v>1</v>
      </c>
      <c r="M1253" s="651">
        <f>IFERROR(EDATE($N1253,-3),"Invalid procurement method or date entered")</f>
        <v>44348</v>
      </c>
      <c r="N1253" s="651">
        <f>IFERROR(EDATE(O1253,-L1253),"Invalid procurement method or date entered")</f>
        <v>44440</v>
      </c>
      <c r="O1253" s="708">
        <v>44470</v>
      </c>
      <c r="P1253" s="641">
        <v>12</v>
      </c>
      <c r="Q1253" s="689" t="s">
        <v>108</v>
      </c>
      <c r="R1253" s="653">
        <v>1600</v>
      </c>
      <c r="S1253" s="628" t="s">
        <v>109</v>
      </c>
      <c r="T1253" s="628" t="s">
        <v>54</v>
      </c>
      <c r="U1253" s="652" t="s">
        <v>37</v>
      </c>
      <c r="V1253" s="652"/>
      <c r="W1253" s="628" t="s">
        <v>1220</v>
      </c>
      <c r="X1253" s="669" t="s">
        <v>73</v>
      </c>
      <c r="Y1253" s="669" t="s">
        <v>59</v>
      </c>
      <c r="Z1253" s="669" t="s">
        <v>95</v>
      </c>
      <c r="AA1253" s="669" t="s">
        <v>54</v>
      </c>
      <c r="AB1253" s="993" t="s">
        <v>43</v>
      </c>
      <c r="AC1253" s="707" t="s">
        <v>4204</v>
      </c>
      <c r="AD1253" s="660" t="s">
        <v>96</v>
      </c>
      <c r="AE1253" s="696"/>
      <c r="AF1253" s="693"/>
    </row>
    <row r="1254" spans="1:32" ht="15.6">
      <c r="A1254" s="1061">
        <v>44974</v>
      </c>
      <c r="B1254" s="1066" t="s">
        <v>210</v>
      </c>
      <c r="C1254" s="1072" t="s">
        <v>4205</v>
      </c>
      <c r="D1254" s="1072" t="s">
        <v>1034</v>
      </c>
      <c r="E1254" s="1066" t="s">
        <v>210</v>
      </c>
      <c r="F1254" s="1066" t="s">
        <v>190</v>
      </c>
      <c r="G1254" s="1066" t="s">
        <v>190</v>
      </c>
      <c r="H1254" s="1066" t="s">
        <v>190</v>
      </c>
      <c r="I1254" s="1066" t="s">
        <v>190</v>
      </c>
      <c r="J1254" s="1095" t="s">
        <v>1204</v>
      </c>
      <c r="K1254" s="1072" t="s">
        <v>1205</v>
      </c>
      <c r="L1254" s="1066" t="s">
        <v>190</v>
      </c>
      <c r="M1254" s="1066" t="s">
        <v>190</v>
      </c>
      <c r="N1254" s="1066" t="s">
        <v>190</v>
      </c>
      <c r="O1254" s="1142">
        <v>44470</v>
      </c>
      <c r="P1254" s="1142">
        <v>44834</v>
      </c>
      <c r="Q1254" s="1142">
        <v>45199</v>
      </c>
      <c r="R1254" s="1176">
        <v>9150</v>
      </c>
      <c r="S1254" s="1072" t="s">
        <v>3971</v>
      </c>
      <c r="T1254" s="1066" t="s">
        <v>190</v>
      </c>
      <c r="U1254" s="1066" t="s">
        <v>190</v>
      </c>
      <c r="V1254" s="1066"/>
      <c r="W1254" s="1072" t="s">
        <v>4179</v>
      </c>
      <c r="X1254" s="1116" t="s">
        <v>1346</v>
      </c>
      <c r="Y1254" s="1116" t="s">
        <v>1266</v>
      </c>
      <c r="Z1254" s="1068" t="s">
        <v>190</v>
      </c>
      <c r="AA1254" s="1068" t="s">
        <v>190</v>
      </c>
      <c r="AB1254" s="1068" t="s">
        <v>190</v>
      </c>
      <c r="AC1254" s="694" t="s">
        <v>4206</v>
      </c>
      <c r="AD1254" s="1068" t="s">
        <v>190</v>
      </c>
      <c r="AE1254" s="1193">
        <v>9150</v>
      </c>
    </row>
    <row r="1255" spans="1:32" ht="15.6">
      <c r="A1255" s="1061">
        <v>44974</v>
      </c>
      <c r="B1255" s="1066" t="s">
        <v>210</v>
      </c>
      <c r="C1255" s="1072" t="s">
        <v>4205</v>
      </c>
      <c r="D1255" s="1072" t="s">
        <v>1034</v>
      </c>
      <c r="E1255" s="1066" t="s">
        <v>210</v>
      </c>
      <c r="F1255" s="1066" t="s">
        <v>190</v>
      </c>
      <c r="G1255" s="1066" t="s">
        <v>190</v>
      </c>
      <c r="H1255" s="1066" t="s">
        <v>190</v>
      </c>
      <c r="I1255" s="1066" t="s">
        <v>190</v>
      </c>
      <c r="J1255" s="1095" t="s">
        <v>1204</v>
      </c>
      <c r="K1255" s="1072" t="s">
        <v>1205</v>
      </c>
      <c r="L1255" s="1066" t="s">
        <v>190</v>
      </c>
      <c r="M1255" s="1066" t="s">
        <v>190</v>
      </c>
      <c r="N1255" s="1066" t="s">
        <v>190</v>
      </c>
      <c r="O1255" s="1142">
        <v>44470</v>
      </c>
      <c r="P1255" s="1142">
        <v>45199</v>
      </c>
      <c r="Q1255" s="1142">
        <v>45199</v>
      </c>
      <c r="R1255" s="1176">
        <v>9150</v>
      </c>
      <c r="S1255" s="1072" t="s">
        <v>3971</v>
      </c>
      <c r="T1255" s="1066" t="s">
        <v>190</v>
      </c>
      <c r="U1255" s="1066" t="s">
        <v>190</v>
      </c>
      <c r="V1255" s="1066"/>
      <c r="W1255" s="1072" t="s">
        <v>1206</v>
      </c>
      <c r="X1255" s="1116" t="s">
        <v>1346</v>
      </c>
      <c r="Y1255" s="1116" t="s">
        <v>1266</v>
      </c>
      <c r="Z1255" s="1068" t="s">
        <v>190</v>
      </c>
      <c r="AA1255" s="1068" t="s">
        <v>190</v>
      </c>
      <c r="AB1255" s="1068" t="s">
        <v>190</v>
      </c>
      <c r="AC1255" s="694" t="s">
        <v>4207</v>
      </c>
      <c r="AD1255" s="1068" t="s">
        <v>190</v>
      </c>
      <c r="AE1255" s="1193">
        <v>9150</v>
      </c>
    </row>
    <row r="1256" spans="1:32" ht="52.8">
      <c r="A1256" s="852"/>
      <c r="B1256" s="520" t="s">
        <v>48</v>
      </c>
      <c r="C1256" s="465" t="s">
        <v>2431</v>
      </c>
      <c r="D1256" s="465" t="s">
        <v>48</v>
      </c>
      <c r="E1256" s="465"/>
      <c r="F1256" s="465"/>
      <c r="G1256" s="465"/>
      <c r="H1256" s="510" t="s">
        <v>214</v>
      </c>
      <c r="I1256" s="474" t="s">
        <v>34</v>
      </c>
      <c r="J1256" s="1024" t="s">
        <v>2432</v>
      </c>
      <c r="K1256" s="744"/>
      <c r="L1256" s="466">
        <v>3</v>
      </c>
      <c r="M1256" s="469">
        <f>IF(O1256="tbc","",(IFERROR(EDATE($N1256,-3),"Invalid procurement method or date entered")))</f>
        <v>44290</v>
      </c>
      <c r="N1256" s="469">
        <f>IF(O1256="tbc","",(IFERROR(EDATE(O1256,-L1256),"Invalid procurement method or date entered")))</f>
        <v>44381</v>
      </c>
      <c r="O1256" s="470">
        <v>44473</v>
      </c>
      <c r="P1256" s="471" t="s">
        <v>125</v>
      </c>
      <c r="Q1256" s="483" t="s">
        <v>125</v>
      </c>
      <c r="R1256" s="483">
        <v>100000</v>
      </c>
      <c r="S1256" s="470" t="s">
        <v>173</v>
      </c>
      <c r="T1256" s="470" t="s">
        <v>36</v>
      </c>
      <c r="U1256" s="466" t="s">
        <v>125</v>
      </c>
      <c r="V1256" s="466"/>
      <c r="W1256" s="465" t="s">
        <v>125</v>
      </c>
    </row>
    <row r="1257" spans="1:32" ht="72">
      <c r="A1257" s="888"/>
      <c r="B1257" s="1351" t="s">
        <v>28</v>
      </c>
      <c r="C1257" s="4" t="s">
        <v>4208</v>
      </c>
      <c r="D1257" s="9" t="s">
        <v>29</v>
      </c>
      <c r="E1257" s="9"/>
      <c r="F1257" s="9"/>
      <c r="G1257" s="9"/>
      <c r="H1257" s="5" t="s">
        <v>171</v>
      </c>
      <c r="I1257" s="5" t="s">
        <v>34</v>
      </c>
      <c r="J1257" s="16" t="s">
        <v>602</v>
      </c>
      <c r="K1257" s="8"/>
      <c r="L1257" s="5" t="e">
        <f>IF(OR(S1257=#REF!,S1257=#REF!,S1257=#REF!,S1257=#REF!,S1257=#REF!,S1257=#REF!,S1257=#REF!,S1257=#REF!),12,IF(OR(S1257=#REF!,S1257=#REF!,S1257=#REF!,S1257=#REF!,S1257=#REF!,S1257=#REF!,S1257=#REF!),3,IF(S1257=#REF!,1,IF(S1257=#REF!,18,IF(OR(S1257=#REF!,S1257=#REF!,S1257=#REF!,S1257=#REF!,S1257=#REF!),14,"Invalid proposed procurement method")))))</f>
        <v>#REF!</v>
      </c>
      <c r="M1257" s="193" t="str">
        <f>IFERROR(EDATE($N1257,-3),"Invalid procurement method or date entered")</f>
        <v>Invalid procurement method or date entered</v>
      </c>
      <c r="N1257" s="193" t="str">
        <f>IFERROR(EDATE(O1257,-L1257),"Invalid procurement method or date entered")</f>
        <v>Invalid procurement method or date entered</v>
      </c>
      <c r="O1257" s="193">
        <v>44477</v>
      </c>
      <c r="P1257" s="5">
        <v>84</v>
      </c>
      <c r="Q1257" s="7" t="s">
        <v>712</v>
      </c>
      <c r="R1257" s="18">
        <v>650000</v>
      </c>
      <c r="S1257" s="5" t="s">
        <v>46</v>
      </c>
      <c r="T1257" s="47" t="s">
        <v>36</v>
      </c>
      <c r="U1257" s="45" t="s">
        <v>43</v>
      </c>
      <c r="V1257" s="45"/>
      <c r="W1257" s="5" t="s">
        <v>1115</v>
      </c>
      <c r="X1257" s="74" t="s">
        <v>90</v>
      </c>
      <c r="Y1257" s="74" t="s">
        <v>457</v>
      </c>
      <c r="Z1257" s="74" t="s">
        <v>80</v>
      </c>
      <c r="AA1257" s="74" t="s">
        <v>41</v>
      </c>
      <c r="AB1257" s="316" t="s">
        <v>1245</v>
      </c>
      <c r="AC1257" s="95" t="s">
        <v>4209</v>
      </c>
      <c r="AD1257" s="70" t="s">
        <v>81</v>
      </c>
      <c r="AE1257" s="204">
        <v>92857</v>
      </c>
    </row>
    <row r="1258" spans="1:32" ht="15.6">
      <c r="A1258" s="1061">
        <v>44974</v>
      </c>
      <c r="B1258" s="1066" t="s">
        <v>210</v>
      </c>
      <c r="C1258" s="1072" t="s">
        <v>1355</v>
      </c>
      <c r="D1258" s="1072" t="s">
        <v>319</v>
      </c>
      <c r="E1258" s="1066" t="s">
        <v>210</v>
      </c>
      <c r="F1258" s="1066" t="s">
        <v>190</v>
      </c>
      <c r="G1258" s="1066" t="s">
        <v>190</v>
      </c>
      <c r="H1258" s="1066" t="s">
        <v>190</v>
      </c>
      <c r="I1258" s="1066" t="s">
        <v>190</v>
      </c>
      <c r="J1258" s="1095" t="s">
        <v>1356</v>
      </c>
      <c r="K1258" s="1072" t="s">
        <v>1357</v>
      </c>
      <c r="L1258" s="1066" t="s">
        <v>190</v>
      </c>
      <c r="M1258" s="1066" t="s">
        <v>190</v>
      </c>
      <c r="N1258" s="1066" t="s">
        <v>190</v>
      </c>
      <c r="O1258" s="1142">
        <v>44477</v>
      </c>
      <c r="P1258" s="1142">
        <v>44841</v>
      </c>
      <c r="Q1258" s="1142">
        <v>45206</v>
      </c>
      <c r="R1258" s="1176">
        <v>14970</v>
      </c>
      <c r="S1258" s="1072" t="s">
        <v>2713</v>
      </c>
      <c r="T1258" s="1066" t="s">
        <v>190</v>
      </c>
      <c r="U1258" s="1066" t="s">
        <v>190</v>
      </c>
      <c r="V1258" s="1066"/>
      <c r="W1258" s="1072" t="s">
        <v>322</v>
      </c>
      <c r="X1258" s="1116" t="s">
        <v>1346</v>
      </c>
      <c r="Y1258" s="1116" t="s">
        <v>1266</v>
      </c>
      <c r="Z1258" s="1068" t="s">
        <v>190</v>
      </c>
      <c r="AA1258" s="1068" t="s">
        <v>190</v>
      </c>
      <c r="AB1258" s="1068" t="s">
        <v>190</v>
      </c>
      <c r="AC1258" s="694" t="s">
        <v>4210</v>
      </c>
      <c r="AD1258" s="1068" t="s">
        <v>190</v>
      </c>
      <c r="AE1258" s="1193">
        <v>14970</v>
      </c>
    </row>
    <row r="1259" spans="1:32" ht="86.4">
      <c r="A1259" s="852"/>
      <c r="B1259" s="305"/>
      <c r="C1259" s="4" t="s">
        <v>35</v>
      </c>
      <c r="D1259" s="9" t="s">
        <v>29</v>
      </c>
      <c r="E1259" s="9"/>
      <c r="F1259" s="9"/>
      <c r="G1259" s="9"/>
      <c r="H1259" s="5" t="s">
        <v>176</v>
      </c>
      <c r="I1259" s="5" t="s">
        <v>64</v>
      </c>
      <c r="J1259" s="16" t="s">
        <v>382</v>
      </c>
      <c r="K1259" s="16"/>
      <c r="L1259" s="5" t="e">
        <f>IF(OR(S1259=#REF!,S1259=#REF!,S1259=#REF!,S1259=#REF!,S1259=#REF!,S1259=#REF!,S1259=#REF!,S1259=#REF!),12,IF(OR(S1259=#REF!,S1259=#REF!,S1259=#REF!,S1259=#REF!,S1259=#REF!,S1259=#REF!,S1259=#REF!),3,IF(S1259=#REF!,1,IF(S1259=#REF!,18,IF(OR(S1259=#REF!,S1259=#REF!,S1259=#REF!,S1259=#REF!,S1259=#REF!),14,"Invalid proposed procurement method")))))</f>
        <v>#REF!</v>
      </c>
      <c r="M1259" s="193" t="str">
        <f>IFERROR(EDATE($N1259,-3),"Invalid procurement method or date entered")</f>
        <v>Invalid procurement method or date entered</v>
      </c>
      <c r="N1259" s="193" t="str">
        <f>IFERROR(EDATE(O1259,-L1259),"Invalid procurement method or date entered")</f>
        <v>Invalid procurement method or date entered</v>
      </c>
      <c r="O1259" s="193">
        <v>44479</v>
      </c>
      <c r="P1259" s="5">
        <v>120</v>
      </c>
      <c r="Q1259" s="5" t="s">
        <v>4211</v>
      </c>
      <c r="R1259" s="18">
        <v>130000</v>
      </c>
      <c r="S1259" s="5" t="s">
        <v>98</v>
      </c>
      <c r="T1259" s="48" t="s">
        <v>36</v>
      </c>
      <c r="U1259" s="48" t="s">
        <v>37</v>
      </c>
      <c r="V1259" s="48"/>
      <c r="W1259" s="5" t="s">
        <v>384</v>
      </c>
      <c r="X1259" s="74" t="s">
        <v>1088</v>
      </c>
      <c r="Y1259" s="74" t="s">
        <v>457</v>
      </c>
      <c r="Z1259" s="74"/>
      <c r="AA1259" s="74" t="s">
        <v>41</v>
      </c>
      <c r="AB1259" s="316" t="s">
        <v>1250</v>
      </c>
      <c r="AC1259" s="95" t="s">
        <v>4212</v>
      </c>
      <c r="AD1259" s="70" t="s">
        <v>220</v>
      </c>
      <c r="AE1259" s="204">
        <v>13000</v>
      </c>
    </row>
    <row r="1260" spans="1:32" ht="15.6">
      <c r="A1260" s="1061">
        <v>44974</v>
      </c>
      <c r="B1260" s="1066" t="s">
        <v>210</v>
      </c>
      <c r="C1260" s="1072" t="s">
        <v>4213</v>
      </c>
      <c r="D1260" s="1072" t="s">
        <v>2856</v>
      </c>
      <c r="E1260" s="1066" t="s">
        <v>210</v>
      </c>
      <c r="F1260" s="1066" t="s">
        <v>190</v>
      </c>
      <c r="G1260" s="1066" t="s">
        <v>190</v>
      </c>
      <c r="H1260" s="1066" t="s">
        <v>190</v>
      </c>
      <c r="I1260" s="1066" t="s">
        <v>190</v>
      </c>
      <c r="J1260" s="1095" t="s">
        <v>4214</v>
      </c>
      <c r="K1260" s="1072" t="s">
        <v>4215</v>
      </c>
      <c r="L1260" s="1066" t="s">
        <v>190</v>
      </c>
      <c r="M1260" s="1066" t="s">
        <v>190</v>
      </c>
      <c r="N1260" s="1066" t="s">
        <v>190</v>
      </c>
      <c r="O1260" s="1142">
        <v>44480</v>
      </c>
      <c r="P1260" s="1142">
        <v>44561</v>
      </c>
      <c r="Q1260" s="1072" t="s">
        <v>100</v>
      </c>
      <c r="R1260" s="1176">
        <v>35000</v>
      </c>
      <c r="S1260" s="1072" t="s">
        <v>2878</v>
      </c>
      <c r="T1260" s="1066" t="s">
        <v>190</v>
      </c>
      <c r="U1260" s="1066" t="s">
        <v>190</v>
      </c>
      <c r="V1260" s="1066"/>
      <c r="W1260" s="1072" t="s">
        <v>4179</v>
      </c>
      <c r="X1260" s="1116" t="s">
        <v>1346</v>
      </c>
      <c r="Y1260" s="1116" t="s">
        <v>1266</v>
      </c>
      <c r="Z1260" s="1068" t="s">
        <v>190</v>
      </c>
      <c r="AA1260" s="1068" t="s">
        <v>190</v>
      </c>
      <c r="AB1260" s="1068" t="s">
        <v>190</v>
      </c>
      <c r="AC1260" s="694" t="s">
        <v>4216</v>
      </c>
      <c r="AD1260" s="1068" t="s">
        <v>190</v>
      </c>
      <c r="AE1260" s="1193">
        <v>35000</v>
      </c>
    </row>
    <row r="1261" spans="1:32" ht="26.4">
      <c r="A1261" s="852"/>
      <c r="B1261" s="520" t="s">
        <v>48</v>
      </c>
      <c r="C1261" s="465" t="s">
        <v>2427</v>
      </c>
      <c r="D1261" s="465" t="s">
        <v>48</v>
      </c>
      <c r="E1261" s="465"/>
      <c r="F1261" s="465"/>
      <c r="G1261" s="465"/>
      <c r="H1261" s="466" t="s">
        <v>60</v>
      </c>
      <c r="I1261" s="474" t="s">
        <v>34</v>
      </c>
      <c r="J1261" s="551" t="s">
        <v>2428</v>
      </c>
      <c r="K1261" s="744"/>
      <c r="L1261" s="466">
        <v>6</v>
      </c>
      <c r="M1261" s="469">
        <f>IF(O1261="tbc","",(IFERROR(EDATE($N1261,-3),"Invalid procurement method or date entered")))</f>
        <v>44212</v>
      </c>
      <c r="N1261" s="469">
        <f>IF(O1261="tbc","",(IFERROR(EDATE(O1261,-L1261),"Invalid procurement method or date entered")))</f>
        <v>44302</v>
      </c>
      <c r="O1261" s="470">
        <v>44485</v>
      </c>
      <c r="P1261" s="471">
        <v>48</v>
      </c>
      <c r="Q1261" s="471">
        <v>48</v>
      </c>
      <c r="R1261" s="483">
        <v>70000</v>
      </c>
      <c r="S1261" s="470" t="s">
        <v>163</v>
      </c>
      <c r="T1261" s="470" t="s">
        <v>36</v>
      </c>
      <c r="U1261" s="470" t="s">
        <v>125</v>
      </c>
      <c r="V1261" s="470"/>
      <c r="W1261" s="513" t="s">
        <v>1299</v>
      </c>
    </row>
    <row r="1262" spans="1:32" ht="52.8">
      <c r="A1262" s="852"/>
      <c r="B1262" s="520" t="s">
        <v>48</v>
      </c>
      <c r="C1262" s="602" t="s">
        <v>2473</v>
      </c>
      <c r="D1262" s="603" t="s">
        <v>60</v>
      </c>
      <c r="E1262" s="603"/>
      <c r="F1262" s="603"/>
      <c r="G1262" s="603"/>
      <c r="H1262" s="603" t="s">
        <v>127</v>
      </c>
      <c r="I1262" s="602" t="s">
        <v>34</v>
      </c>
      <c r="J1262" s="1042" t="s">
        <v>2474</v>
      </c>
      <c r="K1262" s="484"/>
      <c r="L1262" s="466">
        <v>3</v>
      </c>
      <c r="M1262" s="469">
        <f>IF(O1262="tbc","",(IFERROR(EDATE($N1262,-3),"Invalid procurement method or date entered")))</f>
        <v>44309</v>
      </c>
      <c r="N1262" s="469">
        <f>IF(O1262="tbc","",(IFERROR(EDATE(O1262,-L1262),"Invalid procurement method or date entered")))</f>
        <v>44400</v>
      </c>
      <c r="O1262" s="489">
        <v>44492</v>
      </c>
      <c r="P1262" s="490">
        <v>6</v>
      </c>
      <c r="Q1262" s="490">
        <v>6</v>
      </c>
      <c r="R1262" s="483">
        <v>700000</v>
      </c>
      <c r="S1262" s="470" t="s">
        <v>163</v>
      </c>
      <c r="T1262" s="470" t="s">
        <v>144</v>
      </c>
      <c r="U1262" s="470" t="s">
        <v>125</v>
      </c>
      <c r="V1262" s="470"/>
      <c r="W1262" s="354" t="s">
        <v>41</v>
      </c>
    </row>
    <row r="1263" spans="1:32" ht="69">
      <c r="A1263" s="695" t="s">
        <v>43</v>
      </c>
      <c r="B1263" s="620" t="s">
        <v>28</v>
      </c>
      <c r="C1263" s="641" t="s">
        <v>35</v>
      </c>
      <c r="D1263" s="666" t="s">
        <v>60</v>
      </c>
      <c r="E1263" s="638" t="s">
        <v>30</v>
      </c>
      <c r="F1263" s="638" t="s">
        <v>61</v>
      </c>
      <c r="G1263" s="666" t="s">
        <v>69</v>
      </c>
      <c r="H1263" s="628" t="s">
        <v>70</v>
      </c>
      <c r="I1263" s="628" t="s">
        <v>34</v>
      </c>
      <c r="J1263" s="627" t="s">
        <v>920</v>
      </c>
      <c r="K1263" s="628" t="s">
        <v>921</v>
      </c>
      <c r="L1263" s="628" t="e">
        <f>IF(OR(S1263=#REF!,S1263=#REF!,S1263=#REF!,S1263=#REF!,S1263=#REF!,S1263=#REF!,S1263=#REF!,S1263=#REF!),12,IF(OR(S1263=#REF!,S1263=#REF!,S1263=#REF!,S1263=#REF!,S1263=#REF!,S1263=#REF!,S1263=#REF!),3,IF(S1263=#REF!,1,IF(S1263=#REF!,18,IF(OR(S1263=#REF!,S1263=#REF!,S1263=#REF!,S1263=#REF!,S1263=#REF!),14,"Invalid proposed procurement method")))))</f>
        <v>#REF!</v>
      </c>
      <c r="M1263" s="651" t="str">
        <f>IFERROR(EDATE($N1263,-3),"Invalid procurement method or date entered")</f>
        <v>Invalid procurement method or date entered</v>
      </c>
      <c r="N1263" s="651" t="str">
        <f t="shared" ref="N1263:N1272" si="29">IFERROR(EDATE(O1263,-L1263),"Invalid procurement method or date entered")</f>
        <v>Invalid procurement method or date entered</v>
      </c>
      <c r="O1263" s="651">
        <v>44496</v>
      </c>
      <c r="P1263" s="641">
        <v>48</v>
      </c>
      <c r="Q1263" s="641">
        <v>48</v>
      </c>
      <c r="R1263" s="780" t="s">
        <v>35</v>
      </c>
      <c r="S1263" s="661" t="s">
        <v>109</v>
      </c>
      <c r="T1263" s="644" t="s">
        <v>36</v>
      </c>
      <c r="U1263" s="641" t="s">
        <v>43</v>
      </c>
      <c r="V1263" s="641"/>
      <c r="W1263" s="628" t="s">
        <v>497</v>
      </c>
      <c r="X1263" s="669" t="s">
        <v>94</v>
      </c>
      <c r="Y1263" s="669" t="s">
        <v>59</v>
      </c>
      <c r="Z1263" s="669" t="s">
        <v>80</v>
      </c>
      <c r="AA1263" s="669" t="s">
        <v>54</v>
      </c>
      <c r="AB1263" s="993">
        <v>44973</v>
      </c>
      <c r="AC1263" s="707" t="s">
        <v>4217</v>
      </c>
      <c r="AD1263" s="669" t="s">
        <v>96</v>
      </c>
      <c r="AE1263" s="665"/>
      <c r="AF1263" s="691"/>
    </row>
    <row r="1264" spans="1:32" ht="43.2">
      <c r="A1264" s="1363"/>
      <c r="B1264" s="1351" t="s">
        <v>28</v>
      </c>
      <c r="C1264" s="4" t="s">
        <v>35</v>
      </c>
      <c r="D1264" s="9" t="s">
        <v>29</v>
      </c>
      <c r="E1264" s="9"/>
      <c r="F1264" s="9"/>
      <c r="G1264" s="9"/>
      <c r="H1264" s="5" t="s">
        <v>70</v>
      </c>
      <c r="I1264" s="5" t="s">
        <v>34</v>
      </c>
      <c r="J1264" s="1035" t="s">
        <v>1305</v>
      </c>
      <c r="K1264" s="61"/>
      <c r="L1264" s="5">
        <v>6</v>
      </c>
      <c r="M1264" s="193">
        <f>IFERROR(EDATE($N1264,-3),"Invalid procurement method or date entered")</f>
        <v>44226</v>
      </c>
      <c r="N1264" s="193">
        <f t="shared" si="29"/>
        <v>44316</v>
      </c>
      <c r="O1264" s="176">
        <v>44500</v>
      </c>
      <c r="P1264" s="12">
        <v>12</v>
      </c>
      <c r="Q1264" s="7" t="s">
        <v>108</v>
      </c>
      <c r="R1264" s="18">
        <v>6747</v>
      </c>
      <c r="S1264" s="5" t="s">
        <v>909</v>
      </c>
      <c r="T1264" s="49" t="s">
        <v>54</v>
      </c>
      <c r="U1264" s="45" t="s">
        <v>37</v>
      </c>
      <c r="V1264" s="45"/>
      <c r="W1264" s="12" t="s">
        <v>301</v>
      </c>
      <c r="X1264" s="819" t="s">
        <v>73</v>
      </c>
      <c r="Y1264" s="74" t="s">
        <v>39</v>
      </c>
      <c r="Z1264" s="74" t="s">
        <v>95</v>
      </c>
      <c r="AA1264" s="74" t="s">
        <v>54</v>
      </c>
      <c r="AB1264" s="316" t="s">
        <v>1245</v>
      </c>
      <c r="AC1264" s="847"/>
      <c r="AD1264" s="74" t="s">
        <v>141</v>
      </c>
      <c r="AE1264" s="204">
        <v>6747</v>
      </c>
    </row>
    <row r="1265" spans="1:31" ht="43.2">
      <c r="A1265" s="1364"/>
      <c r="B1265" s="1351" t="s">
        <v>28</v>
      </c>
      <c r="C1265" s="4" t="s">
        <v>35</v>
      </c>
      <c r="D1265" s="9" t="s">
        <v>29</v>
      </c>
      <c r="E1265" s="9"/>
      <c r="F1265" s="9"/>
      <c r="G1265" s="9"/>
      <c r="H1265" s="5" t="s">
        <v>70</v>
      </c>
      <c r="I1265" s="5" t="s">
        <v>34</v>
      </c>
      <c r="J1265" s="1035" t="s">
        <v>1306</v>
      </c>
      <c r="K1265" s="61"/>
      <c r="L1265" s="5">
        <v>6</v>
      </c>
      <c r="M1265" s="193">
        <f>IFERROR(EDATE($N1265,-3),"Invalid procurement method or date entered")</f>
        <v>44226</v>
      </c>
      <c r="N1265" s="193">
        <f t="shared" si="29"/>
        <v>44316</v>
      </c>
      <c r="O1265" s="176">
        <v>44500</v>
      </c>
      <c r="P1265" s="12">
        <v>12</v>
      </c>
      <c r="Q1265" s="7" t="s">
        <v>108</v>
      </c>
      <c r="R1265" s="18">
        <v>9690</v>
      </c>
      <c r="S1265" s="5" t="s">
        <v>909</v>
      </c>
      <c r="T1265" s="49" t="s">
        <v>54</v>
      </c>
      <c r="U1265" s="45" t="s">
        <v>37</v>
      </c>
      <c r="V1265" s="45"/>
      <c r="W1265" s="12" t="s">
        <v>301</v>
      </c>
      <c r="X1265" s="819" t="s">
        <v>73</v>
      </c>
      <c r="Y1265" s="74" t="s">
        <v>39</v>
      </c>
      <c r="Z1265" s="74" t="s">
        <v>95</v>
      </c>
      <c r="AA1265" s="74" t="s">
        <v>54</v>
      </c>
      <c r="AB1265" s="316" t="s">
        <v>1245</v>
      </c>
      <c r="AC1265" s="847"/>
      <c r="AD1265" s="74" t="s">
        <v>141</v>
      </c>
      <c r="AE1265" s="204">
        <v>9690</v>
      </c>
    </row>
    <row r="1266" spans="1:31" ht="100.8">
      <c r="A1266" s="895"/>
      <c r="B1266" s="4"/>
      <c r="C1266" s="4" t="s">
        <v>35</v>
      </c>
      <c r="D1266" s="9" t="s">
        <v>60</v>
      </c>
      <c r="E1266" s="9"/>
      <c r="F1266" s="9"/>
      <c r="G1266" s="9"/>
      <c r="H1266" s="5" t="s">
        <v>70</v>
      </c>
      <c r="I1266" s="5" t="s">
        <v>64</v>
      </c>
      <c r="J1266" s="16" t="s">
        <v>947</v>
      </c>
      <c r="K1266" s="16"/>
      <c r="L1266" s="5" t="e">
        <f>IF(OR(S1266=#REF!,S1266=#REF!,S1266=#REF!,S1266=#REF!,S1266=#REF!,S1266=#REF!,S1266=#REF!,S1266=#REF!),12,IF(OR(S1266=#REF!,S1266=#REF!,S1266=#REF!,S1266=#REF!,S1266=#REF!,S1266=#REF!,S1266=#REF!),3,IF(S1266=#REF!,1,IF(S1266=#REF!,18,IF(OR(S1266=#REF!,S1266=#REF!,S1266=#REF!,S1266=#REF!,S1266=#REF!),14,"Invalid proposed procurement method")))))</f>
        <v>#REF!</v>
      </c>
      <c r="M1266" s="193" t="str">
        <f>IFERROR(EDATE($N1266,-3),"Invalid procurement method or date entered")</f>
        <v>Invalid procurement method or date entered</v>
      </c>
      <c r="N1266" s="193" t="str">
        <f t="shared" si="29"/>
        <v>Invalid procurement method or date entered</v>
      </c>
      <c r="O1266" s="176">
        <v>44501</v>
      </c>
      <c r="P1266" s="12">
        <v>60</v>
      </c>
      <c r="Q1266" s="5" t="s">
        <v>3817</v>
      </c>
      <c r="R1266" s="18">
        <v>231600</v>
      </c>
      <c r="S1266" s="5" t="s">
        <v>66</v>
      </c>
      <c r="T1266" s="49" t="s">
        <v>41</v>
      </c>
      <c r="U1266" s="45" t="s">
        <v>37</v>
      </c>
      <c r="V1266" s="45"/>
      <c r="W1266" s="5" t="s">
        <v>4218</v>
      </c>
      <c r="X1266" s="74" t="s">
        <v>56</v>
      </c>
      <c r="Y1266" s="74" t="s">
        <v>457</v>
      </c>
      <c r="Z1266" s="74" t="s">
        <v>40</v>
      </c>
      <c r="AA1266" s="74" t="s">
        <v>41</v>
      </c>
      <c r="AB1266" s="316" t="s">
        <v>1269</v>
      </c>
      <c r="AC1266" s="95" t="s">
        <v>4219</v>
      </c>
      <c r="AD1266" s="74" t="s">
        <v>74</v>
      </c>
      <c r="AE1266" s="864">
        <v>46320</v>
      </c>
    </row>
    <row r="1267" spans="1:31" ht="100.8">
      <c r="A1267" s="852"/>
      <c r="B1267" s="1351" t="s">
        <v>28</v>
      </c>
      <c r="C1267" s="4" t="s">
        <v>361</v>
      </c>
      <c r="D1267" s="5" t="s">
        <v>29</v>
      </c>
      <c r="E1267" s="5"/>
      <c r="F1267" s="5"/>
      <c r="G1267" s="5"/>
      <c r="H1267" s="5" t="s">
        <v>119</v>
      </c>
      <c r="I1267" s="5" t="s">
        <v>64</v>
      </c>
      <c r="J1267" s="16" t="s">
        <v>362</v>
      </c>
      <c r="K1267" s="8"/>
      <c r="L1267" s="5" t="e">
        <f>IF(OR(S1267=#REF!,S1267=#REF!,S1267=#REF!,S1267=#REF!,S1267=#REF!,S1267=#REF!,S1267=#REF!,S1267=#REF!),12,IF(OR(S1267=#REF!,S1267=#REF!,S1267=#REF!,S1267=#REF!,S1267=#REF!,S1267=#REF!,S1267=#REF!),3,IF(S1267=#REF!,1,IF(S1267=#REF!,18,IF(OR(S1267=#REF!,S1267=#REF!,S1267=#REF!,S1267=#REF!,S1267=#REF!),14,"Invalid proposed procurement method")))))</f>
        <v>#REF!</v>
      </c>
      <c r="M1267" s="193" t="str">
        <f>IFERROR(EDATE($N1267,-3),"Invalid procurement method or date entered")</f>
        <v>Invalid procurement method or date entered</v>
      </c>
      <c r="N1267" s="193" t="str">
        <f t="shared" si="29"/>
        <v>Invalid procurement method or date entered</v>
      </c>
      <c r="O1267" s="193">
        <v>44501</v>
      </c>
      <c r="P1267" s="5">
        <v>48</v>
      </c>
      <c r="Q1267" s="7" t="s">
        <v>1316</v>
      </c>
      <c r="R1267" s="18">
        <v>120000</v>
      </c>
      <c r="S1267" s="5" t="s">
        <v>3385</v>
      </c>
      <c r="T1267" s="49" t="s">
        <v>36</v>
      </c>
      <c r="U1267" s="45" t="s">
        <v>37</v>
      </c>
      <c r="V1267" s="45"/>
      <c r="W1267" s="5" t="s">
        <v>89</v>
      </c>
      <c r="X1267" s="74" t="s">
        <v>1088</v>
      </c>
      <c r="Y1267" s="74" t="s">
        <v>457</v>
      </c>
      <c r="Z1267" s="74" t="s">
        <v>40</v>
      </c>
      <c r="AA1267" s="74" t="s">
        <v>41</v>
      </c>
      <c r="AB1267" s="316" t="s">
        <v>1263</v>
      </c>
      <c r="AC1267" s="95" t="s">
        <v>4220</v>
      </c>
      <c r="AD1267" s="74" t="s">
        <v>42</v>
      </c>
      <c r="AE1267" s="204">
        <v>30000</v>
      </c>
    </row>
    <row r="1268" spans="1:31" ht="86.4">
      <c r="A1268" s="1364"/>
      <c r="B1268" s="1351" t="s">
        <v>28</v>
      </c>
      <c r="C1268" s="4" t="s">
        <v>3198</v>
      </c>
      <c r="D1268" s="9" t="s">
        <v>29</v>
      </c>
      <c r="E1268" s="9"/>
      <c r="F1268" s="9"/>
      <c r="G1268" s="9"/>
      <c r="H1268" s="5" t="s">
        <v>70</v>
      </c>
      <c r="I1268" s="5" t="s">
        <v>64</v>
      </c>
      <c r="J1268" s="16" t="s">
        <v>4221</v>
      </c>
      <c r="K1268" s="16"/>
      <c r="L1268" s="5" t="e">
        <f>IF(OR(S1268=#REF!,S1268=#REF!,S1268=#REF!,S1268=#REF!,S1268=#REF!,S1268=#REF!,S1268=#REF!,S1268=#REF!),12,IF(OR(S1268=#REF!,S1268=#REF!,S1268=#REF!,S1268=#REF!,S1268=#REF!,S1268=#REF!,S1268=#REF!),3,IF(S1268=#REF!,1,IF(S1268=#REF!,18,IF(OR(S1268=#REF!,S1268=#REF!,S1268=#REF!,S1268=#REF!,S1268=#REF!),14,"Invalid proposed procurement method")))))</f>
        <v>#REF!</v>
      </c>
      <c r="M1268" s="193">
        <v>44197</v>
      </c>
      <c r="N1268" s="193" t="str">
        <f t="shared" si="29"/>
        <v>Invalid procurement method or date entered</v>
      </c>
      <c r="O1268" s="176">
        <v>44501</v>
      </c>
      <c r="P1268" s="12">
        <v>60</v>
      </c>
      <c r="Q1268" s="301" t="s">
        <v>358</v>
      </c>
      <c r="R1268" s="18">
        <v>256000</v>
      </c>
      <c r="S1268" s="5" t="s">
        <v>66</v>
      </c>
      <c r="T1268" s="49" t="s">
        <v>36</v>
      </c>
      <c r="U1268" s="45" t="s">
        <v>37</v>
      </c>
      <c r="V1268" s="45"/>
      <c r="W1268" s="5" t="s">
        <v>923</v>
      </c>
      <c r="X1268" s="74" t="s">
        <v>1088</v>
      </c>
      <c r="Y1268" s="74" t="s">
        <v>457</v>
      </c>
      <c r="Z1268" s="74" t="s">
        <v>40</v>
      </c>
      <c r="AA1268" s="74" t="s">
        <v>41</v>
      </c>
      <c r="AB1268" s="316" t="s">
        <v>1245</v>
      </c>
      <c r="AC1268" s="95" t="s">
        <v>4222</v>
      </c>
      <c r="AD1268" s="74" t="s">
        <v>85</v>
      </c>
      <c r="AE1268" s="204">
        <v>51200</v>
      </c>
    </row>
    <row r="1269" spans="1:31" ht="72">
      <c r="A1269" s="1363"/>
      <c r="B1269" s="1351" t="s">
        <v>28</v>
      </c>
      <c r="C1269" s="4" t="s">
        <v>35</v>
      </c>
      <c r="D1269" s="5" t="s">
        <v>29</v>
      </c>
      <c r="E1269" s="5"/>
      <c r="F1269" s="5"/>
      <c r="G1269" s="5"/>
      <c r="H1269" s="1335" t="s">
        <v>70</v>
      </c>
      <c r="I1269" s="1335" t="s">
        <v>34</v>
      </c>
      <c r="J1269" s="1339" t="s">
        <v>3735</v>
      </c>
      <c r="K1269" s="1339"/>
      <c r="L1269" s="5" t="e">
        <f>IF(OR(S1269=#REF!,S1269=#REF!,S1269=#REF!,S1269=#REF!,S1269=#REF!,S1269=#REF!,S1269=#REF!,S1269=#REF!),12,IF(OR(S1269=#REF!,S1269=#REF!,S1269=#REF!,S1269=#REF!,S1269=#REF!,S1269=#REF!,S1269=#REF!),3,IF(S1269=#REF!,1,IF(S1269=#REF!,18,IF(OR(S1269=#REF!,S1269=#REF!,S1269=#REF!,S1269=#REF!,S1269=#REF!),14,"Invalid proposed procurement method")))))</f>
        <v>#REF!</v>
      </c>
      <c r="M1269" s="193">
        <v>44197</v>
      </c>
      <c r="N1269" s="193" t="str">
        <f t="shared" si="29"/>
        <v>Invalid procurement method or date entered</v>
      </c>
      <c r="O1269" s="176">
        <v>44501</v>
      </c>
      <c r="P1269" s="12">
        <v>12</v>
      </c>
      <c r="Q1269" s="12">
        <v>12</v>
      </c>
      <c r="R1269" s="18">
        <v>15000</v>
      </c>
      <c r="S1269" s="39" t="s">
        <v>163</v>
      </c>
      <c r="T1269" s="1335" t="s">
        <v>54</v>
      </c>
      <c r="U1269" s="1330" t="s">
        <v>37</v>
      </c>
      <c r="V1269" s="1330"/>
      <c r="W1269" s="1335" t="s">
        <v>3391</v>
      </c>
      <c r="X1269" s="74" t="s">
        <v>73</v>
      </c>
      <c r="Y1269" s="74" t="s">
        <v>59</v>
      </c>
      <c r="Z1269" s="74" t="s">
        <v>95</v>
      </c>
      <c r="AA1269" s="1342" t="s">
        <v>41</v>
      </c>
      <c r="AB1269" s="316" t="s">
        <v>1245</v>
      </c>
      <c r="AC1269" s="95"/>
      <c r="AD1269" s="74" t="s">
        <v>118</v>
      </c>
      <c r="AE1269" s="204"/>
    </row>
    <row r="1270" spans="1:31" ht="57.6">
      <c r="A1270" s="1363"/>
      <c r="B1270" s="1351" t="s">
        <v>28</v>
      </c>
      <c r="C1270" s="4" t="s">
        <v>4223</v>
      </c>
      <c r="D1270" s="5" t="s">
        <v>29</v>
      </c>
      <c r="E1270" s="5"/>
      <c r="F1270" s="5"/>
      <c r="G1270" s="5"/>
      <c r="H1270" s="5" t="s">
        <v>563</v>
      </c>
      <c r="I1270" s="5" t="s">
        <v>34</v>
      </c>
      <c r="J1270" s="16" t="s">
        <v>4224</v>
      </c>
      <c r="K1270" s="16"/>
      <c r="L1270" s="5">
        <v>6</v>
      </c>
      <c r="M1270" s="193">
        <f t="shared" ref="M1270:M1275" si="30">IFERROR(EDATE($N1270,-3),"Invalid procurement method or date entered")</f>
        <v>44228</v>
      </c>
      <c r="N1270" s="193">
        <f t="shared" si="29"/>
        <v>44317</v>
      </c>
      <c r="O1270" s="176">
        <v>44501</v>
      </c>
      <c r="P1270" s="12">
        <v>18</v>
      </c>
      <c r="Q1270" s="12">
        <v>18</v>
      </c>
      <c r="R1270" s="18">
        <v>200000</v>
      </c>
      <c r="S1270" s="5" t="s">
        <v>46</v>
      </c>
      <c r="T1270" s="14" t="s">
        <v>36</v>
      </c>
      <c r="U1270" s="14" t="s">
        <v>35</v>
      </c>
      <c r="V1270" s="14"/>
      <c r="W1270" s="5" t="s">
        <v>878</v>
      </c>
      <c r="X1270" s="74" t="s">
        <v>94</v>
      </c>
      <c r="Y1270" s="74" t="s">
        <v>457</v>
      </c>
      <c r="Z1270" s="74"/>
      <c r="AA1270" s="74" t="s">
        <v>54</v>
      </c>
      <c r="AB1270" s="316" t="s">
        <v>1263</v>
      </c>
      <c r="AC1270" s="95" t="s">
        <v>4225</v>
      </c>
      <c r="AD1270" s="70" t="s">
        <v>654</v>
      </c>
      <c r="AE1270" s="442">
        <v>200000</v>
      </c>
    </row>
    <row r="1271" spans="1:31" ht="43.2">
      <c r="A1271" s="1363"/>
      <c r="B1271" s="1351" t="s">
        <v>28</v>
      </c>
      <c r="C1271" s="4" t="s">
        <v>35</v>
      </c>
      <c r="D1271" s="9" t="s">
        <v>29</v>
      </c>
      <c r="E1271" s="9"/>
      <c r="F1271" s="9"/>
      <c r="G1271" s="9"/>
      <c r="H1271" s="5" t="s">
        <v>171</v>
      </c>
      <c r="I1271" s="5" t="s">
        <v>34</v>
      </c>
      <c r="J1271" s="16" t="s">
        <v>4226</v>
      </c>
      <c r="K1271" s="16"/>
      <c r="L1271" s="5">
        <v>6</v>
      </c>
      <c r="M1271" s="193">
        <f t="shared" si="30"/>
        <v>44228</v>
      </c>
      <c r="N1271" s="193">
        <f t="shared" si="29"/>
        <v>44317</v>
      </c>
      <c r="O1271" s="46">
        <v>44501</v>
      </c>
      <c r="P1271" s="15">
        <v>3</v>
      </c>
      <c r="Q1271" s="258" t="s">
        <v>2913</v>
      </c>
      <c r="R1271" s="19">
        <v>11250</v>
      </c>
      <c r="S1271" s="9" t="s">
        <v>909</v>
      </c>
      <c r="T1271" s="5" t="s">
        <v>54</v>
      </c>
      <c r="U1271" s="12" t="s">
        <v>37</v>
      </c>
      <c r="V1271" s="12"/>
      <c r="W1271" s="5" t="s">
        <v>4011</v>
      </c>
      <c r="X1271" s="74" t="s">
        <v>219</v>
      </c>
      <c r="Y1271" s="74" t="s">
        <v>39</v>
      </c>
      <c r="Z1271" s="74" t="s">
        <v>95</v>
      </c>
      <c r="AA1271" s="74" t="s">
        <v>54</v>
      </c>
      <c r="AB1271" s="316">
        <v>44624</v>
      </c>
      <c r="AC1271" s="747" t="s">
        <v>4227</v>
      </c>
      <c r="AD1271" s="70" t="s">
        <v>171</v>
      </c>
      <c r="AE1271" s="204"/>
    </row>
    <row r="1272" spans="1:31" ht="72">
      <c r="A1272" s="1364"/>
      <c r="B1272" s="1351"/>
      <c r="C1272" s="4" t="s">
        <v>1310</v>
      </c>
      <c r="D1272" s="9" t="s">
        <v>29</v>
      </c>
      <c r="E1272" s="9"/>
      <c r="F1272" s="9"/>
      <c r="G1272" s="9"/>
      <c r="H1272" s="5" t="s">
        <v>70</v>
      </c>
      <c r="I1272" s="5" t="s">
        <v>34</v>
      </c>
      <c r="J1272" s="16" t="s">
        <v>3394</v>
      </c>
      <c r="K1272" s="16"/>
      <c r="L1272" s="5" t="e">
        <f>IF(OR(S1272=#REF!,S1272=#REF!,S1272=#REF!,S1272=#REF!,S1272=#REF!,S1272=#REF!,S1272=#REF!,S1272=#REF!),12,IF(OR(S1272=#REF!,S1272=#REF!,S1272=#REF!,S1272=#REF!,S1272=#REF!,S1272=#REF!,S1272=#REF!),3,IF(S1272=#REF!,1,IF(S1272=#REF!,18,IF(OR(S1272=#REF!,S1272=#REF!,S1272=#REF!,S1272=#REF!,S1272=#REF!),14,"Invalid proposed procurement method")))))</f>
        <v>#REF!</v>
      </c>
      <c r="M1272" s="193" t="str">
        <f t="shared" si="30"/>
        <v>Invalid procurement method or date entered</v>
      </c>
      <c r="N1272" s="193" t="str">
        <f t="shared" si="29"/>
        <v>Invalid procurement method or date entered</v>
      </c>
      <c r="O1272" s="176">
        <v>44501</v>
      </c>
      <c r="P1272" s="12">
        <v>24</v>
      </c>
      <c r="Q1272" s="13" t="s">
        <v>366</v>
      </c>
      <c r="R1272" s="18">
        <v>6000</v>
      </c>
      <c r="S1272" s="5" t="s">
        <v>909</v>
      </c>
      <c r="T1272" s="5" t="s">
        <v>54</v>
      </c>
      <c r="U1272" s="12" t="s">
        <v>37</v>
      </c>
      <c r="V1272" s="12"/>
      <c r="W1272" s="5" t="s">
        <v>3156</v>
      </c>
      <c r="X1272" s="74" t="s">
        <v>73</v>
      </c>
      <c r="Y1272" s="74" t="s">
        <v>59</v>
      </c>
      <c r="Z1272" s="74" t="s">
        <v>95</v>
      </c>
      <c r="AA1272" s="74" t="s">
        <v>54</v>
      </c>
      <c r="AB1272" s="316" t="s">
        <v>1269</v>
      </c>
      <c r="AC1272" s="95" t="s">
        <v>4228</v>
      </c>
      <c r="AD1272" s="70" t="s">
        <v>118</v>
      </c>
      <c r="AE1272" s="191"/>
    </row>
    <row r="1273" spans="1:31" ht="43.2">
      <c r="A1273" s="1363"/>
      <c r="B1273" s="114"/>
      <c r="C1273" s="1373" t="s">
        <v>4229</v>
      </c>
      <c r="D1273" s="9" t="s">
        <v>29</v>
      </c>
      <c r="E1273" s="9"/>
      <c r="F1273" s="9"/>
      <c r="G1273" s="9"/>
      <c r="H1273" s="5" t="s">
        <v>133</v>
      </c>
      <c r="I1273" s="5" t="s">
        <v>64</v>
      </c>
      <c r="J1273" s="16" t="s">
        <v>826</v>
      </c>
      <c r="K1273" s="8"/>
      <c r="L1273" s="5" t="e">
        <f>IF(OR(S1273=#REF!,S1273=#REF!,S1273=#REF!,S1273=#REF!,S1273=#REF!,S1273=#REF!,S1273=#REF!,S1273=#REF!),12,IF(OR(S1273=#REF!,S1273=#REF!,S1273=#REF!,S1273=#REF!,S1273=#REF!,S1273=#REF!,S1273=#REF!),3,IF(S1273=#REF!,1,IF(S1273=#REF!,18,IF(OR(S1273=#REF!,S1273=#REF!,S1273=#REF!,S1273=#REF!,S1273=#REF!),14,"Invalid proposed procurement method")))))</f>
        <v>#REF!</v>
      </c>
      <c r="M1273" s="193">
        <f t="shared" si="30"/>
        <v>44409</v>
      </c>
      <c r="N1273" s="193">
        <v>44501</v>
      </c>
      <c r="O1273" s="176">
        <v>44501</v>
      </c>
      <c r="P1273" s="12">
        <v>48</v>
      </c>
      <c r="Q1273" s="7" t="s">
        <v>4230</v>
      </c>
      <c r="R1273" s="18">
        <v>500000</v>
      </c>
      <c r="S1273" s="5" t="s">
        <v>66</v>
      </c>
      <c r="T1273" s="49" t="s">
        <v>41</v>
      </c>
      <c r="U1273" s="45" t="s">
        <v>35</v>
      </c>
      <c r="V1273" s="45"/>
      <c r="W1273" s="5" t="s">
        <v>828</v>
      </c>
      <c r="X1273" s="819" t="s">
        <v>35</v>
      </c>
      <c r="Y1273" s="74" t="s">
        <v>59</v>
      </c>
      <c r="Z1273" s="74"/>
      <c r="AA1273" s="74" t="s">
        <v>41</v>
      </c>
      <c r="AB1273" s="316"/>
      <c r="AC1273" s="847" t="s">
        <v>4231</v>
      </c>
      <c r="AD1273" s="1446" t="s">
        <v>416</v>
      </c>
      <c r="AE1273" s="873"/>
    </row>
    <row r="1274" spans="1:31" ht="43.2">
      <c r="A1274" s="1363"/>
      <c r="B1274" s="168"/>
      <c r="C1274" s="4" t="s">
        <v>1310</v>
      </c>
      <c r="D1274" s="9" t="s">
        <v>29</v>
      </c>
      <c r="E1274" s="9"/>
      <c r="F1274" s="9"/>
      <c r="G1274" s="9"/>
      <c r="H1274" s="5" t="s">
        <v>70</v>
      </c>
      <c r="I1274" s="5"/>
      <c r="J1274" s="16" t="s">
        <v>1311</v>
      </c>
      <c r="K1274" s="16"/>
      <c r="L1274" s="5" t="e">
        <f>IF(OR(S1274=#REF!,S1274=#REF!,S1274=#REF!,S1274=#REF!,S1274=#REF!,S1274=#REF!,S1274=#REF!,S1274=#REF!),12,IF(OR(S1274=#REF!,S1274=#REF!,S1274=#REF!,S1274=#REF!,S1274=#REF!,S1274=#REF!,S1274=#REF!),3,IF(S1274=#REF!,1,IF(S1274=#REF!,18,IF(OR(S1274=#REF!,S1274=#REF!,S1274=#REF!,S1274=#REF!,S1274=#REF!),14,"Invalid proposed procurement method")))))</f>
        <v>#REF!</v>
      </c>
      <c r="M1274" s="193">
        <f t="shared" si="30"/>
        <v>44409</v>
      </c>
      <c r="N1274" s="193">
        <v>44501</v>
      </c>
      <c r="O1274" s="176">
        <v>44501</v>
      </c>
      <c r="P1274" s="12">
        <v>24</v>
      </c>
      <c r="Q1274" s="12" t="s">
        <v>1312</v>
      </c>
      <c r="R1274" s="18">
        <v>6000</v>
      </c>
      <c r="S1274" s="5" t="s">
        <v>109</v>
      </c>
      <c r="T1274" s="5" t="s">
        <v>54</v>
      </c>
      <c r="U1274" s="12" t="s">
        <v>37</v>
      </c>
      <c r="V1274" s="12"/>
      <c r="W1274" s="43" t="s">
        <v>1022</v>
      </c>
      <c r="X1274" s="74" t="s">
        <v>453</v>
      </c>
      <c r="Y1274" s="74" t="s">
        <v>59</v>
      </c>
      <c r="Z1274" s="74" t="s">
        <v>95</v>
      </c>
      <c r="AA1274" s="74" t="s">
        <v>41</v>
      </c>
      <c r="AB1274" s="316" t="s">
        <v>1269</v>
      </c>
      <c r="AC1274" s="95" t="s">
        <v>4232</v>
      </c>
      <c r="AD1274" s="74" t="s">
        <v>118</v>
      </c>
      <c r="AE1274" s="191"/>
    </row>
    <row r="1275" spans="1:31" ht="43.2">
      <c r="A1275" s="1363"/>
      <c r="B1275" s="1347"/>
      <c r="C1275" s="4" t="s">
        <v>35</v>
      </c>
      <c r="D1275" s="5" t="s">
        <v>29</v>
      </c>
      <c r="E1275" s="5"/>
      <c r="F1275" s="5"/>
      <c r="G1275" s="5"/>
      <c r="H1275" s="1335" t="s">
        <v>70</v>
      </c>
      <c r="I1275" s="1335" t="s">
        <v>34</v>
      </c>
      <c r="J1275" s="1339" t="s">
        <v>3390</v>
      </c>
      <c r="K1275" s="1339"/>
      <c r="L1275" s="5" t="e">
        <f>IF(OR(S1275=#REF!,S1275=#REF!,S1275=#REF!,S1275=#REF!,S1275=#REF!,S1275=#REF!,S1275=#REF!,S1275=#REF!),12,IF(OR(S1275=#REF!,S1275=#REF!,S1275=#REF!,S1275=#REF!,S1275=#REF!,S1275=#REF!,S1275=#REF!),3,IF(S1275=#REF!,1,IF(S1275=#REF!,18,IF(OR(S1275=#REF!,S1275=#REF!,S1275=#REF!,S1275=#REF!,S1275=#REF!),14,"Invalid proposed procurement method")))))</f>
        <v>#REF!</v>
      </c>
      <c r="M1275" s="193">
        <f t="shared" si="30"/>
        <v>44409</v>
      </c>
      <c r="N1275" s="193">
        <v>44501</v>
      </c>
      <c r="O1275" s="176">
        <v>44501</v>
      </c>
      <c r="P1275" s="1335" t="s">
        <v>35</v>
      </c>
      <c r="Q1275" s="1335" t="s">
        <v>35</v>
      </c>
      <c r="R1275" s="18">
        <v>500</v>
      </c>
      <c r="S1275" s="1335" t="s">
        <v>35</v>
      </c>
      <c r="T1275" s="1335" t="s">
        <v>54</v>
      </c>
      <c r="U1275" s="1330" t="s">
        <v>37</v>
      </c>
      <c r="V1275" s="1330"/>
      <c r="W1275" s="1335" t="s">
        <v>3391</v>
      </c>
      <c r="X1275" s="74" t="s">
        <v>73</v>
      </c>
      <c r="Y1275" s="74" t="s">
        <v>59</v>
      </c>
      <c r="Z1275" s="74" t="s">
        <v>95</v>
      </c>
      <c r="AA1275" s="74" t="s">
        <v>41</v>
      </c>
      <c r="AB1275" s="316" t="s">
        <v>1253</v>
      </c>
      <c r="AC1275" s="1341" t="s">
        <v>4233</v>
      </c>
      <c r="AD1275" s="74" t="s">
        <v>118</v>
      </c>
      <c r="AE1275" s="1474"/>
    </row>
    <row r="1276" spans="1:31" ht="57.6">
      <c r="A1276" s="888"/>
      <c r="B1276" s="1351" t="s">
        <v>28</v>
      </c>
      <c r="C1276" s="10" t="s">
        <v>35</v>
      </c>
      <c r="D1276" s="9" t="s">
        <v>29</v>
      </c>
      <c r="E1276" s="9"/>
      <c r="F1276" s="9"/>
      <c r="G1276" s="9"/>
      <c r="H1276" s="9" t="s">
        <v>70</v>
      </c>
      <c r="I1276" s="5" t="s">
        <v>34</v>
      </c>
      <c r="J1276" s="16" t="s">
        <v>4234</v>
      </c>
      <c r="K1276" s="16"/>
      <c r="L1276" s="5">
        <v>1</v>
      </c>
      <c r="M1276" s="193">
        <v>44460</v>
      </c>
      <c r="N1276" s="193">
        <v>44460</v>
      </c>
      <c r="O1276" s="46">
        <v>44501</v>
      </c>
      <c r="P1276" s="15">
        <v>24</v>
      </c>
      <c r="Q1276" s="63" t="s">
        <v>366</v>
      </c>
      <c r="R1276" s="18">
        <v>42000</v>
      </c>
      <c r="S1276" s="5" t="s">
        <v>217</v>
      </c>
      <c r="T1276" s="1375" t="s">
        <v>54</v>
      </c>
      <c r="U1276" s="12" t="s">
        <v>37</v>
      </c>
      <c r="V1276" s="12"/>
      <c r="W1276" s="5" t="s">
        <v>84</v>
      </c>
      <c r="X1276" s="74" t="s">
        <v>219</v>
      </c>
      <c r="Y1276" s="74" t="s">
        <v>457</v>
      </c>
      <c r="Z1276" s="74"/>
      <c r="AA1276" s="819" t="s">
        <v>54</v>
      </c>
      <c r="AB1276" s="316" t="s">
        <v>1245</v>
      </c>
      <c r="AC1276" s="747" t="s">
        <v>4235</v>
      </c>
      <c r="AD1276" s="74" t="s">
        <v>85</v>
      </c>
      <c r="AE1276" s="864">
        <v>21000</v>
      </c>
    </row>
    <row r="1277" spans="1:31" ht="57.6">
      <c r="A1277" s="888"/>
      <c r="B1277" s="1351" t="s">
        <v>28</v>
      </c>
      <c r="C1277" s="10" t="s">
        <v>35</v>
      </c>
      <c r="D1277" s="9" t="s">
        <v>29</v>
      </c>
      <c r="E1277" s="9"/>
      <c r="F1277" s="9"/>
      <c r="G1277" s="9"/>
      <c r="H1277" s="9" t="s">
        <v>70</v>
      </c>
      <c r="I1277" s="5" t="s">
        <v>34</v>
      </c>
      <c r="J1277" s="16" t="s">
        <v>83</v>
      </c>
      <c r="K1277" s="16"/>
      <c r="L1277" s="5">
        <v>1</v>
      </c>
      <c r="M1277" s="193">
        <v>44460</v>
      </c>
      <c r="N1277" s="193">
        <v>44460</v>
      </c>
      <c r="O1277" s="46">
        <v>44501</v>
      </c>
      <c r="P1277" s="15">
        <v>24</v>
      </c>
      <c r="Q1277" s="63" t="s">
        <v>366</v>
      </c>
      <c r="R1277" s="18">
        <v>64000</v>
      </c>
      <c r="S1277" s="5" t="s">
        <v>217</v>
      </c>
      <c r="T1277" s="1375" t="s">
        <v>54</v>
      </c>
      <c r="U1277" s="12" t="s">
        <v>37</v>
      </c>
      <c r="V1277" s="12"/>
      <c r="W1277" s="5" t="s">
        <v>84</v>
      </c>
      <c r="X1277" s="74" t="s">
        <v>219</v>
      </c>
      <c r="Y1277" s="74" t="s">
        <v>457</v>
      </c>
      <c r="Z1277" s="74"/>
      <c r="AA1277" s="819" t="s">
        <v>54</v>
      </c>
      <c r="AB1277" s="316" t="s">
        <v>1245</v>
      </c>
      <c r="AC1277" s="747" t="s">
        <v>4235</v>
      </c>
      <c r="AD1277" s="74" t="s">
        <v>85</v>
      </c>
      <c r="AE1277" s="864">
        <v>32000</v>
      </c>
    </row>
    <row r="1278" spans="1:31" ht="72">
      <c r="A1278" s="1363"/>
      <c r="B1278" s="1351" t="s">
        <v>28</v>
      </c>
      <c r="C1278" s="4">
        <v>51363</v>
      </c>
      <c r="D1278" s="5" t="s">
        <v>29</v>
      </c>
      <c r="E1278" s="5"/>
      <c r="F1278" s="5"/>
      <c r="G1278" s="5"/>
      <c r="H1278" s="5" t="s">
        <v>70</v>
      </c>
      <c r="I1278" s="5" t="s">
        <v>34</v>
      </c>
      <c r="J1278" s="16" t="s">
        <v>206</v>
      </c>
      <c r="K1278" s="8"/>
      <c r="L1278" s="5" t="e">
        <f>IF(OR(S1278=#REF!,S1278=#REF!,S1278=#REF!,S1278=#REF!,S1278=#REF!,S1278=#REF!,S1278=#REF!,S1278=#REF!),12,IF(OR(S1278=#REF!,S1278=#REF!,S1278=#REF!,S1278=#REF!,S1278=#REF!,S1278=#REF!,S1278=#REF!),3,IF(S1278=#REF!,1,IF(S1278=#REF!,18,IF(OR(S1278=#REF!,S1278=#REF!,S1278=#REF!,S1278=#REF!,S1278=#REF!),14,"Invalid proposed procurement method")))))</f>
        <v>#REF!</v>
      </c>
      <c r="M1278" s="193" t="str">
        <f>IFERROR(EDATE($N1278,-3),"Invalid procurement method or date entered")</f>
        <v>Invalid procurement method or date entered</v>
      </c>
      <c r="N1278" s="193" t="str">
        <f>IFERROR(EDATE(O1278,-L1278),"Invalid procurement method or date entered")</f>
        <v>Invalid procurement method or date entered</v>
      </c>
      <c r="O1278" s="176">
        <v>44501</v>
      </c>
      <c r="P1278" s="12">
        <v>60</v>
      </c>
      <c r="Q1278" s="12" t="s">
        <v>358</v>
      </c>
      <c r="R1278" s="17">
        <v>57502.6</v>
      </c>
      <c r="S1278" s="5" t="s">
        <v>109</v>
      </c>
      <c r="T1278" s="39" t="s">
        <v>54</v>
      </c>
      <c r="U1278" s="12" t="s">
        <v>37</v>
      </c>
      <c r="V1278" s="12"/>
      <c r="W1278" s="5" t="s">
        <v>208</v>
      </c>
      <c r="X1278" s="74" t="s">
        <v>94</v>
      </c>
      <c r="Y1278" s="74" t="s">
        <v>457</v>
      </c>
      <c r="Z1278" s="74" t="s">
        <v>95</v>
      </c>
      <c r="AA1278" s="1356" t="s">
        <v>41</v>
      </c>
      <c r="AB1278" s="316">
        <v>44698</v>
      </c>
      <c r="AC1278" s="95" t="s">
        <v>4236</v>
      </c>
      <c r="AD1278" s="74" t="s">
        <v>85</v>
      </c>
      <c r="AE1278" s="204">
        <v>12500</v>
      </c>
    </row>
    <row r="1279" spans="1:31" ht="72">
      <c r="A1279" s="852"/>
      <c r="B1279" s="1351" t="s">
        <v>28</v>
      </c>
      <c r="C1279" s="10">
        <v>56512</v>
      </c>
      <c r="D1279" s="728" t="s">
        <v>29</v>
      </c>
      <c r="E1279" s="728"/>
      <c r="F1279" s="728"/>
      <c r="G1279" s="728"/>
      <c r="H1279" s="55" t="s">
        <v>70</v>
      </c>
      <c r="I1279" s="55" t="s">
        <v>34</v>
      </c>
      <c r="J1279" s="743" t="s">
        <v>1006</v>
      </c>
      <c r="K1279" s="743"/>
      <c r="L1279" s="55" t="e">
        <f>IF(OR(S1279=#REF!,S1279=#REF!,S1279=#REF!,S1279=#REF!,S1279=#REF!,S1279=#REF!,S1279=#REF!,S1279=#REF!),12,IF(OR(S1279=#REF!,S1279=#REF!,S1279=#REF!,S1279=#REF!,S1279=#REF!,S1279=#REF!,S1279=#REF!),3,IF(S1279=#REF!,1,IF(S1279=#REF!,18,IF(OR(S1279=#REF!,S1279=#REF!,S1279=#REF!,S1279=#REF!,S1279=#REF!),14,"Invalid proposed procurement method")))))</f>
        <v>#REF!</v>
      </c>
      <c r="M1279" s="199" t="str">
        <f>IFERROR(EDATE($N1279,-3),"Invalid procurement method or date entered")</f>
        <v>Invalid procurement method or date entered</v>
      </c>
      <c r="N1279" s="199" t="str">
        <f>IFERROR(EDATE(O1279,-L1279),"Invalid procurement method or date entered")</f>
        <v>Invalid procurement method or date entered</v>
      </c>
      <c r="O1279" s="212">
        <v>44501</v>
      </c>
      <c r="P1279" s="196">
        <v>36</v>
      </c>
      <c r="Q1279" s="1174" t="s">
        <v>488</v>
      </c>
      <c r="R1279" s="195">
        <v>42750</v>
      </c>
      <c r="S1279" s="55" t="s">
        <v>217</v>
      </c>
      <c r="T1279" s="55" t="s">
        <v>54</v>
      </c>
      <c r="U1279" s="196" t="s">
        <v>37</v>
      </c>
      <c r="V1279" s="196"/>
      <c r="W1279" s="55" t="s">
        <v>286</v>
      </c>
      <c r="X1279" s="74" t="s">
        <v>1053</v>
      </c>
      <c r="Y1279" s="74" t="s">
        <v>457</v>
      </c>
      <c r="Z1279" s="74" t="s">
        <v>40</v>
      </c>
      <c r="AA1279" s="74" t="s">
        <v>41</v>
      </c>
      <c r="AB1279" s="316" t="s">
        <v>1293</v>
      </c>
      <c r="AC1279" s="95" t="s">
        <v>1246</v>
      </c>
      <c r="AD1279" s="74" t="s">
        <v>85</v>
      </c>
      <c r="AE1279" s="306"/>
    </row>
    <row r="1280" spans="1:31" ht="28.8">
      <c r="A1280" s="888"/>
      <c r="B1280" s="323" t="s">
        <v>145</v>
      </c>
      <c r="C1280" s="323"/>
      <c r="D1280" s="8" t="s">
        <v>92</v>
      </c>
      <c r="E1280" s="8"/>
      <c r="F1280" s="8"/>
      <c r="G1280" s="8"/>
      <c r="H1280" s="8" t="s">
        <v>148</v>
      </c>
      <c r="I1280" s="8" t="s">
        <v>34</v>
      </c>
      <c r="J1280" s="16" t="s">
        <v>3953</v>
      </c>
      <c r="K1280" s="8"/>
      <c r="L1280" s="78">
        <v>12</v>
      </c>
      <c r="M1280" s="394">
        <f>IFERROR(EDATE(N1280,-3),"Invalid procurement method or date entered")</f>
        <v>44044</v>
      </c>
      <c r="N1280" s="346">
        <f>IFERROR(EDATE(O1280,-L1280),"Invalid procurement method or date entered")</f>
        <v>44136</v>
      </c>
      <c r="O1280" s="328">
        <v>44501</v>
      </c>
      <c r="P1280" s="66">
        <v>24</v>
      </c>
      <c r="Q1280" s="322">
        <v>24</v>
      </c>
      <c r="R1280" s="153">
        <v>160000</v>
      </c>
      <c r="S1280" s="5" t="s">
        <v>163</v>
      </c>
      <c r="T1280" s="5" t="s">
        <v>35</v>
      </c>
      <c r="U1280" s="5" t="s">
        <v>35</v>
      </c>
      <c r="V1280" s="5"/>
      <c r="W1280" s="8" t="s">
        <v>3543</v>
      </c>
      <c r="X1280" s="95"/>
      <c r="Y1280" s="95" t="s">
        <v>59</v>
      </c>
      <c r="Z1280" s="95"/>
      <c r="AA1280" s="95" t="s">
        <v>40</v>
      </c>
      <c r="AB1280" s="837" t="s">
        <v>41</v>
      </c>
      <c r="AC1280" s="390"/>
      <c r="AD1280" s="390"/>
      <c r="AE1280" s="390"/>
    </row>
    <row r="1281" spans="1:31" ht="86.4">
      <c r="A1281" s="888"/>
      <c r="B1281" s="4" t="s">
        <v>28</v>
      </c>
      <c r="C1281" s="60" t="s">
        <v>1112</v>
      </c>
      <c r="D1281" s="15" t="s">
        <v>29</v>
      </c>
      <c r="E1281" s="15"/>
      <c r="F1281" s="15"/>
      <c r="G1281" s="15"/>
      <c r="H1281" s="9" t="s">
        <v>176</v>
      </c>
      <c r="I1281" s="10" t="s">
        <v>34</v>
      </c>
      <c r="J1281" s="16" t="s">
        <v>1113</v>
      </c>
      <c r="K1281" s="16"/>
      <c r="L1281" s="16"/>
      <c r="M1281" s="176">
        <v>44136</v>
      </c>
      <c r="N1281" s="176"/>
      <c r="O1281" s="176">
        <v>44501</v>
      </c>
      <c r="P1281" s="12" t="s">
        <v>35</v>
      </c>
      <c r="Q1281" s="12" t="s">
        <v>35</v>
      </c>
      <c r="R1281" s="82" t="s">
        <v>35</v>
      </c>
      <c r="S1281" s="5" t="s">
        <v>35</v>
      </c>
      <c r="T1281" s="12" t="s">
        <v>54</v>
      </c>
      <c r="U1281" s="1347"/>
      <c r="V1281" s="1347"/>
      <c r="W1281" s="12" t="s">
        <v>1114</v>
      </c>
      <c r="X1281" s="820" t="s">
        <v>35</v>
      </c>
      <c r="Y1281" s="74" t="s">
        <v>457</v>
      </c>
      <c r="Z1281" s="74"/>
      <c r="AA1281" s="70"/>
      <c r="AB1281" s="316"/>
      <c r="AC1281" s="95" t="s">
        <v>4237</v>
      </c>
      <c r="AD1281" s="1"/>
      <c r="AE1281" s="862">
        <v>3000</v>
      </c>
    </row>
    <row r="1282" spans="1:31" ht="57.6">
      <c r="A1282" s="888"/>
      <c r="B1282" s="323" t="s">
        <v>145</v>
      </c>
      <c r="C1282" s="349"/>
      <c r="D1282" s="8" t="s">
        <v>82</v>
      </c>
      <c r="E1282" s="8"/>
      <c r="F1282" s="8"/>
      <c r="G1282" s="8"/>
      <c r="H1282" s="8" t="s">
        <v>316</v>
      </c>
      <c r="I1282" s="8" t="s">
        <v>34</v>
      </c>
      <c r="J1282" s="16" t="s">
        <v>3300</v>
      </c>
      <c r="K1282" s="8"/>
      <c r="L1282" s="78">
        <v>1</v>
      </c>
      <c r="M1282" s="394">
        <f>IFERROR(EDATE(N1282,-3),"Invalid procurement method or date entered")</f>
        <v>44378</v>
      </c>
      <c r="N1282" s="346">
        <f>IFERROR(EDATE(O1282,-L1282),"Invalid procurement method or date entered")</f>
        <v>44470</v>
      </c>
      <c r="O1282" s="328">
        <v>44501</v>
      </c>
      <c r="P1282" s="66">
        <v>14</v>
      </c>
      <c r="Q1282" s="66">
        <v>14</v>
      </c>
      <c r="R1282" s="153">
        <v>10000</v>
      </c>
      <c r="S1282" s="5" t="s">
        <v>909</v>
      </c>
      <c r="T1282" s="326" t="s">
        <v>54</v>
      </c>
      <c r="U1282" s="326" t="s">
        <v>43</v>
      </c>
      <c r="V1282" s="326"/>
      <c r="W1282" s="8" t="s">
        <v>3301</v>
      </c>
      <c r="X1282" s="95" t="s">
        <v>1119</v>
      </c>
      <c r="Y1282" s="95" t="s">
        <v>59</v>
      </c>
      <c r="Z1282" s="95"/>
      <c r="AA1282" s="828"/>
      <c r="AB1282" s="837"/>
      <c r="AC1282" s="390">
        <v>44279</v>
      </c>
      <c r="AD1282" s="390"/>
      <c r="AE1282" s="390"/>
    </row>
    <row r="1283" spans="1:31" ht="66">
      <c r="A1283" s="852"/>
      <c r="B1283" s="520" t="s">
        <v>48</v>
      </c>
      <c r="C1283" s="466" t="s">
        <v>125</v>
      </c>
      <c r="D1283" s="466" t="s">
        <v>29</v>
      </c>
      <c r="E1283" s="466"/>
      <c r="F1283" s="466"/>
      <c r="G1283" s="466"/>
      <c r="H1283" s="466" t="s">
        <v>171</v>
      </c>
      <c r="I1283" s="466" t="s">
        <v>34</v>
      </c>
      <c r="J1283" s="549" t="s">
        <v>2191</v>
      </c>
      <c r="K1283" s="484"/>
      <c r="L1283" s="484"/>
      <c r="M1283" s="466">
        <v>12</v>
      </c>
      <c r="N1283" s="469" t="str">
        <f>IF(O1283="tbc","",(IFERROR(EDATE(#REF!,-3),"Invalid procurement method or date entered")))</f>
        <v>Invalid procurement method or date entered</v>
      </c>
      <c r="O1283" s="469">
        <v>44501</v>
      </c>
      <c r="P1283" s="491">
        <v>48</v>
      </c>
      <c r="Q1283" s="491">
        <v>48</v>
      </c>
      <c r="R1283" s="493" t="s">
        <v>125</v>
      </c>
      <c r="S1283" s="466" t="s">
        <v>98</v>
      </c>
      <c r="T1283" s="466" t="s">
        <v>36</v>
      </c>
      <c r="U1283" s="469" t="s">
        <v>41</v>
      </c>
      <c r="V1283" s="469"/>
      <c r="W1283" s="484" t="s">
        <v>493</v>
      </c>
    </row>
    <row r="1284" spans="1:31" ht="52.8">
      <c r="A1284" s="852"/>
      <c r="B1284" s="520" t="s">
        <v>48</v>
      </c>
      <c r="C1284" s="465" t="s">
        <v>2463</v>
      </c>
      <c r="D1284" s="466" t="s">
        <v>60</v>
      </c>
      <c r="E1284" s="466"/>
      <c r="F1284" s="466"/>
      <c r="G1284" s="466"/>
      <c r="H1284" s="466" t="s">
        <v>127</v>
      </c>
      <c r="I1284" s="474" t="s">
        <v>34</v>
      </c>
      <c r="J1284" s="1024" t="s">
        <v>2464</v>
      </c>
      <c r="K1284" s="484"/>
      <c r="L1284" s="466">
        <v>1</v>
      </c>
      <c r="M1284" s="469">
        <v>44497</v>
      </c>
      <c r="N1284" s="469">
        <f>IF(O1284="tbc","",(IFERROR(EDATE(O1284,-L1284),"Invalid procurement method or date entered")))</f>
        <v>44470</v>
      </c>
      <c r="O1284" s="489">
        <v>44501</v>
      </c>
      <c r="P1284" s="465">
        <v>1</v>
      </c>
      <c r="Q1284" s="490">
        <v>1</v>
      </c>
      <c r="R1284" s="483">
        <v>180000</v>
      </c>
      <c r="S1284" s="508" t="s">
        <v>109</v>
      </c>
      <c r="T1284" s="509" t="s">
        <v>125</v>
      </c>
      <c r="U1284" s="470" t="s">
        <v>125</v>
      </c>
      <c r="V1284" s="470"/>
      <c r="W1284" s="354" t="s">
        <v>41</v>
      </c>
    </row>
    <row r="1285" spans="1:31" ht="66">
      <c r="A1285" s="852"/>
      <c r="B1285" s="520" t="s">
        <v>48</v>
      </c>
      <c r="C1285" s="602" t="s">
        <v>2475</v>
      </c>
      <c r="D1285" s="603" t="s">
        <v>82</v>
      </c>
      <c r="E1285" s="603"/>
      <c r="F1285" s="603"/>
      <c r="G1285" s="603"/>
      <c r="H1285" s="603" t="s">
        <v>49</v>
      </c>
      <c r="I1285" s="604" t="s">
        <v>34</v>
      </c>
      <c r="J1285" s="1043" t="s">
        <v>2476</v>
      </c>
      <c r="K1285" s="484"/>
      <c r="L1285" s="466">
        <v>1</v>
      </c>
      <c r="M1285" s="469">
        <f>IF(O1285="tbc","",(IFERROR(EDATE($N1285,-3),"Invalid procurement method or date entered")))</f>
        <v>44378</v>
      </c>
      <c r="N1285" s="469">
        <f>IF(O1285="tbc","",(IFERROR(EDATE(O1285,-L1285),"Invalid procurement method or date entered")))</f>
        <v>44470</v>
      </c>
      <c r="O1285" s="489">
        <v>44501</v>
      </c>
      <c r="P1285" s="465">
        <v>1</v>
      </c>
      <c r="Q1285" s="490">
        <v>1</v>
      </c>
      <c r="R1285" s="483">
        <v>145000</v>
      </c>
      <c r="S1285" s="508" t="s">
        <v>129</v>
      </c>
      <c r="T1285" s="509" t="s">
        <v>465</v>
      </c>
      <c r="U1285" s="470" t="s">
        <v>100</v>
      </c>
      <c r="V1285" s="470"/>
      <c r="W1285" s="354" t="s">
        <v>41</v>
      </c>
    </row>
    <row r="1286" spans="1:31" ht="66">
      <c r="A1286" s="852"/>
      <c r="B1286" s="520" t="s">
        <v>48</v>
      </c>
      <c r="C1286" s="466" t="s">
        <v>125</v>
      </c>
      <c r="D1286" s="466" t="s">
        <v>60</v>
      </c>
      <c r="E1286" s="466"/>
      <c r="F1286" s="466"/>
      <c r="G1286" s="466"/>
      <c r="H1286" s="466" t="s">
        <v>127</v>
      </c>
      <c r="I1286" s="474" t="s">
        <v>34</v>
      </c>
      <c r="J1286" s="1024" t="s">
        <v>2513</v>
      </c>
      <c r="K1286" s="744"/>
      <c r="L1286" s="466">
        <v>3</v>
      </c>
      <c r="M1286" s="468" t="s">
        <v>125</v>
      </c>
      <c r="N1286" s="469">
        <f>IF(O1286="tbc","",(IFERROR(EDATE(O1286,-L1286),"Invalid procurement method or date entered")))</f>
        <v>44409</v>
      </c>
      <c r="O1286" s="470">
        <v>44501</v>
      </c>
      <c r="P1286" s="471" t="s">
        <v>125</v>
      </c>
      <c r="Q1286" s="474" t="s">
        <v>125</v>
      </c>
      <c r="R1286" s="483">
        <v>208342</v>
      </c>
      <c r="S1286" s="470" t="s">
        <v>129</v>
      </c>
      <c r="T1286" s="470" t="s">
        <v>36</v>
      </c>
      <c r="U1286" s="475" t="s">
        <v>59</v>
      </c>
      <c r="V1286" s="475"/>
      <c r="W1286" s="476" t="s">
        <v>41</v>
      </c>
    </row>
    <row r="1287" spans="1:31" ht="52.8">
      <c r="A1287" s="852"/>
      <c r="B1287" s="520" t="s">
        <v>48</v>
      </c>
      <c r="C1287" s="465" t="s">
        <v>125</v>
      </c>
      <c r="D1287" s="466" t="s">
        <v>60</v>
      </c>
      <c r="E1287" s="466"/>
      <c r="F1287" s="466"/>
      <c r="G1287" s="466"/>
      <c r="H1287" s="466" t="s">
        <v>127</v>
      </c>
      <c r="I1287" s="465" t="s">
        <v>34</v>
      </c>
      <c r="J1287" s="1025" t="s">
        <v>2517</v>
      </c>
      <c r="K1287" s="746"/>
      <c r="L1287" s="466">
        <v>3</v>
      </c>
      <c r="M1287" s="468" t="s">
        <v>125</v>
      </c>
      <c r="N1287" s="469">
        <f>IF(O1287="tbc","",(IFERROR(EDATE(O1287,-L1287),"Invalid procurement method or date entered")))</f>
        <v>44409</v>
      </c>
      <c r="O1287" s="489">
        <v>44501</v>
      </c>
      <c r="P1287" s="490">
        <v>4</v>
      </c>
      <c r="Q1287" s="490">
        <v>4</v>
      </c>
      <c r="R1287" s="483">
        <v>250000</v>
      </c>
      <c r="S1287" s="470" t="s">
        <v>163</v>
      </c>
      <c r="T1287" s="470" t="s">
        <v>36</v>
      </c>
      <c r="U1287" s="475" t="s">
        <v>59</v>
      </c>
      <c r="V1287" s="475"/>
      <c r="W1287" s="476" t="s">
        <v>41</v>
      </c>
    </row>
    <row r="1288" spans="1:31" ht="52.8">
      <c r="A1288" s="852"/>
      <c r="B1288" s="520" t="s">
        <v>48</v>
      </c>
      <c r="C1288" s="465" t="s">
        <v>125</v>
      </c>
      <c r="D1288" s="466" t="s">
        <v>991</v>
      </c>
      <c r="E1288" s="466"/>
      <c r="F1288" s="466"/>
      <c r="G1288" s="466"/>
      <c r="H1288" s="466" t="s">
        <v>127</v>
      </c>
      <c r="I1288" s="474" t="s">
        <v>34</v>
      </c>
      <c r="J1288" s="1025" t="s">
        <v>2524</v>
      </c>
      <c r="K1288" s="746"/>
      <c r="L1288" s="466">
        <v>12</v>
      </c>
      <c r="M1288" s="468">
        <f>IF(O1288="tbc","",(IFERROR(EDATE($N1288,-3),"Invalid procurement method or date entered")))</f>
        <v>44044</v>
      </c>
      <c r="N1288" s="469">
        <f>IF(O1288="tbc","",(IFERROR(EDATE(O1288,-L1288),"Invalid procurement method or date entered")))</f>
        <v>44136</v>
      </c>
      <c r="O1288" s="489">
        <v>44501</v>
      </c>
      <c r="P1288" s="490">
        <v>24</v>
      </c>
      <c r="Q1288" s="490" t="s">
        <v>366</v>
      </c>
      <c r="R1288" s="511">
        <v>637500</v>
      </c>
      <c r="S1288" s="470" t="s">
        <v>98</v>
      </c>
      <c r="T1288" s="470" t="s">
        <v>100</v>
      </c>
      <c r="U1288" s="475" t="s">
        <v>39</v>
      </c>
      <c r="V1288" s="475"/>
      <c r="W1288" s="476" t="s">
        <v>41</v>
      </c>
    </row>
    <row r="1289" spans="1:31" ht="15.6">
      <c r="A1289" s="1061">
        <v>44974</v>
      </c>
      <c r="B1289" s="1066" t="s">
        <v>210</v>
      </c>
      <c r="C1289" s="1072" t="s">
        <v>4238</v>
      </c>
      <c r="D1289" s="1072" t="s">
        <v>1177</v>
      </c>
      <c r="E1289" s="1066" t="s">
        <v>210</v>
      </c>
      <c r="F1289" s="1066" t="s">
        <v>190</v>
      </c>
      <c r="G1289" s="1066" t="s">
        <v>190</v>
      </c>
      <c r="H1289" s="1066" t="s">
        <v>190</v>
      </c>
      <c r="I1289" s="1066" t="s">
        <v>190</v>
      </c>
      <c r="J1289" s="1095" t="s">
        <v>4239</v>
      </c>
      <c r="K1289" s="1072" t="s">
        <v>1190</v>
      </c>
      <c r="L1289" s="1066" t="s">
        <v>190</v>
      </c>
      <c r="M1289" s="1066" t="s">
        <v>190</v>
      </c>
      <c r="N1289" s="1066" t="s">
        <v>190</v>
      </c>
      <c r="O1289" s="1142">
        <v>44508</v>
      </c>
      <c r="P1289" s="1142">
        <v>44872</v>
      </c>
      <c r="Q1289" s="1142">
        <v>45235</v>
      </c>
      <c r="R1289" s="1176">
        <v>20000</v>
      </c>
      <c r="S1289" s="1072" t="s">
        <v>4240</v>
      </c>
      <c r="T1289" s="1066" t="s">
        <v>190</v>
      </c>
      <c r="U1289" s="1066" t="s">
        <v>190</v>
      </c>
      <c r="V1289" s="1066"/>
      <c r="W1289" s="1072" t="s">
        <v>1191</v>
      </c>
      <c r="X1289" s="1116" t="s">
        <v>1346</v>
      </c>
      <c r="Y1289" s="1116" t="s">
        <v>1266</v>
      </c>
      <c r="Z1289" s="1068" t="s">
        <v>190</v>
      </c>
      <c r="AA1289" s="1068" t="s">
        <v>190</v>
      </c>
      <c r="AB1289" s="1068" t="s">
        <v>190</v>
      </c>
      <c r="AC1289" s="694" t="s">
        <v>4241</v>
      </c>
      <c r="AD1289" s="1068" t="s">
        <v>190</v>
      </c>
      <c r="AE1289" s="1193">
        <v>20000</v>
      </c>
    </row>
    <row r="1290" spans="1:31" ht="15.6">
      <c r="A1290" s="1061">
        <v>44974</v>
      </c>
      <c r="B1290" s="1066" t="s">
        <v>210</v>
      </c>
      <c r="C1290" s="1072" t="s">
        <v>4238</v>
      </c>
      <c r="D1290" s="1072" t="s">
        <v>1177</v>
      </c>
      <c r="E1290" s="1066" t="s">
        <v>210</v>
      </c>
      <c r="F1290" s="1066" t="s">
        <v>190</v>
      </c>
      <c r="G1290" s="1066" t="s">
        <v>190</v>
      </c>
      <c r="H1290" s="1066" t="s">
        <v>190</v>
      </c>
      <c r="I1290" s="1066" t="s">
        <v>190</v>
      </c>
      <c r="J1290" s="1095" t="s">
        <v>4239</v>
      </c>
      <c r="K1290" s="1072" t="s">
        <v>1190</v>
      </c>
      <c r="L1290" s="1066" t="s">
        <v>190</v>
      </c>
      <c r="M1290" s="1066" t="s">
        <v>190</v>
      </c>
      <c r="N1290" s="1066" t="s">
        <v>190</v>
      </c>
      <c r="O1290" s="1142">
        <v>44508</v>
      </c>
      <c r="P1290" s="1142">
        <v>45237</v>
      </c>
      <c r="Q1290" s="1142">
        <v>45235</v>
      </c>
      <c r="R1290" s="1176">
        <v>20000</v>
      </c>
      <c r="S1290" s="1072" t="s">
        <v>4240</v>
      </c>
      <c r="T1290" s="1066" t="s">
        <v>190</v>
      </c>
      <c r="U1290" s="1066" t="s">
        <v>190</v>
      </c>
      <c r="V1290" s="1066"/>
      <c r="W1290" s="1072" t="s">
        <v>1191</v>
      </c>
      <c r="X1290" s="1116" t="s">
        <v>1346</v>
      </c>
      <c r="Y1290" s="1116" t="s">
        <v>1266</v>
      </c>
      <c r="Z1290" s="1068" t="s">
        <v>190</v>
      </c>
      <c r="AA1290" s="1068" t="s">
        <v>190</v>
      </c>
      <c r="AB1290" s="1068" t="s">
        <v>190</v>
      </c>
      <c r="AC1290" s="694" t="s">
        <v>4242</v>
      </c>
      <c r="AD1290" s="1068" t="s">
        <v>190</v>
      </c>
      <c r="AE1290" s="1193">
        <v>20000</v>
      </c>
    </row>
    <row r="1291" spans="1:31" ht="57.6">
      <c r="A1291" s="888"/>
      <c r="B1291" s="1351" t="s">
        <v>28</v>
      </c>
      <c r="C1291" s="4" t="s">
        <v>777</v>
      </c>
      <c r="D1291" s="5" t="s">
        <v>29</v>
      </c>
      <c r="E1291" s="5"/>
      <c r="F1291" s="5"/>
      <c r="G1291" s="5"/>
      <c r="H1291" s="5" t="s">
        <v>45</v>
      </c>
      <c r="I1291" s="5" t="s">
        <v>34</v>
      </c>
      <c r="J1291" s="16" t="s">
        <v>137</v>
      </c>
      <c r="K1291" s="16"/>
      <c r="L1291" s="5">
        <v>15</v>
      </c>
      <c r="M1291" s="193">
        <f>IFERROR(EDATE($N1291,-3),"Invalid procurement method or date entered")</f>
        <v>43960</v>
      </c>
      <c r="N1291" s="193">
        <f>IFERROR(EDATE(O1291,-L1291),"Invalid procurement method or date entered")</f>
        <v>44052</v>
      </c>
      <c r="O1291" s="176">
        <v>44509</v>
      </c>
      <c r="P1291" s="12">
        <v>54</v>
      </c>
      <c r="Q1291" s="7" t="s">
        <v>779</v>
      </c>
      <c r="R1291" s="18">
        <v>4250000</v>
      </c>
      <c r="S1291" s="1335" t="s">
        <v>46</v>
      </c>
      <c r="T1291" s="49" t="s">
        <v>41</v>
      </c>
      <c r="U1291" s="203">
        <v>44431</v>
      </c>
      <c r="V1291" s="203"/>
      <c r="W1291" s="1335" t="s">
        <v>138</v>
      </c>
      <c r="X1291" s="74" t="s">
        <v>1053</v>
      </c>
      <c r="Y1291" s="74" t="s">
        <v>457</v>
      </c>
      <c r="Z1291" s="74" t="s">
        <v>80</v>
      </c>
      <c r="AA1291" s="74" t="s">
        <v>41</v>
      </c>
      <c r="AB1291" s="316" t="s">
        <v>1263</v>
      </c>
      <c r="AC1291" s="95" t="s">
        <v>1246</v>
      </c>
      <c r="AD1291" s="70" t="s">
        <v>45</v>
      </c>
      <c r="AE1291" s="204">
        <v>945000</v>
      </c>
    </row>
    <row r="1292" spans="1:31" ht="39.6">
      <c r="A1292" s="852"/>
      <c r="B1292" s="520" t="s">
        <v>48</v>
      </c>
      <c r="C1292" s="465" t="s">
        <v>125</v>
      </c>
      <c r="D1292" s="465" t="s">
        <v>48</v>
      </c>
      <c r="E1292" s="465"/>
      <c r="F1292" s="465"/>
      <c r="G1292" s="465"/>
      <c r="H1292" s="466" t="s">
        <v>60</v>
      </c>
      <c r="I1292" s="465" t="s">
        <v>34</v>
      </c>
      <c r="J1292" s="1025" t="s">
        <v>2436</v>
      </c>
      <c r="K1292" s="744"/>
      <c r="L1292" s="466">
        <v>3</v>
      </c>
      <c r="M1292" s="469">
        <f>IF(O1292="tbc","",(IFERROR(EDATE($N1292,-3),"Invalid procurement method or date entered")))</f>
        <v>44325</v>
      </c>
      <c r="N1292" s="469">
        <f>IF(O1292="tbc","",(IFERROR(EDATE(O1292,-L1292),"Invalid procurement method or date entered")))</f>
        <v>44417</v>
      </c>
      <c r="O1292" s="489">
        <v>44509</v>
      </c>
      <c r="P1292" s="490" t="s">
        <v>125</v>
      </c>
      <c r="Q1292" s="490" t="s">
        <v>125</v>
      </c>
      <c r="R1292" s="483">
        <v>40000</v>
      </c>
      <c r="S1292" s="470" t="s">
        <v>163</v>
      </c>
      <c r="T1292" s="470" t="s">
        <v>36</v>
      </c>
      <c r="U1292" s="470" t="s">
        <v>125</v>
      </c>
      <c r="V1292" s="470"/>
      <c r="W1292" s="465" t="s">
        <v>2190</v>
      </c>
    </row>
    <row r="1293" spans="1:31" ht="43.2">
      <c r="A1293" s="1465"/>
      <c r="B1293" s="1351" t="s">
        <v>28</v>
      </c>
      <c r="C1293" s="4" t="s">
        <v>4243</v>
      </c>
      <c r="D1293" s="5" t="s">
        <v>60</v>
      </c>
      <c r="E1293" s="5"/>
      <c r="F1293" s="5"/>
      <c r="G1293" s="5"/>
      <c r="H1293" s="5" t="s">
        <v>260</v>
      </c>
      <c r="I1293" s="5" t="s">
        <v>34</v>
      </c>
      <c r="J1293" s="16" t="s">
        <v>4244</v>
      </c>
      <c r="K1293" s="8"/>
      <c r="L1293" s="5">
        <v>0</v>
      </c>
      <c r="M1293" s="193">
        <v>44378</v>
      </c>
      <c r="N1293" s="193">
        <f>IFERROR(EDATE(O1293,-L1293),"Invalid procurement method or date entered")</f>
        <v>44510</v>
      </c>
      <c r="O1293" s="193">
        <v>44510</v>
      </c>
      <c r="P1293" s="5">
        <v>0</v>
      </c>
      <c r="Q1293" s="5">
        <v>0</v>
      </c>
      <c r="R1293" s="18">
        <v>136400</v>
      </c>
      <c r="S1293" s="5" t="s">
        <v>217</v>
      </c>
      <c r="T1293" s="5" t="s">
        <v>54</v>
      </c>
      <c r="U1293" s="12" t="s">
        <v>37</v>
      </c>
      <c r="V1293" s="12"/>
      <c r="W1293" s="5" t="s">
        <v>233</v>
      </c>
      <c r="X1293" s="1342" t="s">
        <v>94</v>
      </c>
      <c r="Y1293" s="74" t="s">
        <v>39</v>
      </c>
      <c r="Z1293" s="74"/>
      <c r="AA1293" s="74" t="s">
        <v>41</v>
      </c>
      <c r="AB1293" s="316" t="s">
        <v>1263</v>
      </c>
      <c r="AC1293" s="846" t="s">
        <v>4245</v>
      </c>
      <c r="AD1293" s="70" t="s">
        <v>63</v>
      </c>
      <c r="AE1293" s="204"/>
    </row>
    <row r="1294" spans="1:31" ht="15.6">
      <c r="A1294" s="1061">
        <v>44974</v>
      </c>
      <c r="B1294" s="1066" t="s">
        <v>210</v>
      </c>
      <c r="C1294" s="1072">
        <v>22778</v>
      </c>
      <c r="D1294" s="1072" t="s">
        <v>1360</v>
      </c>
      <c r="E1294" s="1066" t="s">
        <v>210</v>
      </c>
      <c r="F1294" s="1066" t="s">
        <v>190</v>
      </c>
      <c r="G1294" s="1066" t="s">
        <v>190</v>
      </c>
      <c r="H1294" s="1066" t="s">
        <v>190</v>
      </c>
      <c r="I1294" s="1066" t="s">
        <v>190</v>
      </c>
      <c r="J1294" s="1095" t="s">
        <v>1153</v>
      </c>
      <c r="K1294" s="1072" t="s">
        <v>1154</v>
      </c>
      <c r="L1294" s="1066" t="s">
        <v>190</v>
      </c>
      <c r="M1294" s="1066" t="s">
        <v>190</v>
      </c>
      <c r="N1294" s="1066" t="s">
        <v>190</v>
      </c>
      <c r="O1294" s="1142">
        <v>44522</v>
      </c>
      <c r="P1294" s="1142">
        <v>45251</v>
      </c>
      <c r="Q1294" s="1072" t="s">
        <v>100</v>
      </c>
      <c r="R1294" s="1176">
        <v>240000</v>
      </c>
      <c r="S1294" s="1072" t="s">
        <v>158</v>
      </c>
      <c r="T1294" s="1066" t="s">
        <v>190</v>
      </c>
      <c r="U1294" s="1066" t="s">
        <v>190</v>
      </c>
      <c r="V1294" s="1066"/>
      <c r="W1294" s="1072" t="s">
        <v>293</v>
      </c>
      <c r="X1294" s="1116" t="s">
        <v>1346</v>
      </c>
      <c r="Y1294" s="1116" t="s">
        <v>1266</v>
      </c>
      <c r="Z1294" s="1068" t="s">
        <v>190</v>
      </c>
      <c r="AA1294" s="1068" t="s">
        <v>190</v>
      </c>
      <c r="AB1294" s="1068" t="s">
        <v>190</v>
      </c>
      <c r="AC1294" s="694" t="s">
        <v>4246</v>
      </c>
      <c r="AD1294" s="1068" t="s">
        <v>190</v>
      </c>
      <c r="AE1294" s="1193">
        <v>240000</v>
      </c>
    </row>
    <row r="1295" spans="1:31" ht="15.6">
      <c r="A1295" s="1061">
        <v>44974</v>
      </c>
      <c r="B1295" s="1066" t="s">
        <v>210</v>
      </c>
      <c r="C1295" s="1072" t="s">
        <v>4247</v>
      </c>
      <c r="D1295" s="1072" t="s">
        <v>2856</v>
      </c>
      <c r="E1295" s="1066" t="s">
        <v>210</v>
      </c>
      <c r="F1295" s="1066" t="s">
        <v>190</v>
      </c>
      <c r="G1295" s="1066" t="s">
        <v>190</v>
      </c>
      <c r="H1295" s="1066" t="s">
        <v>190</v>
      </c>
      <c r="I1295" s="1066" t="s">
        <v>190</v>
      </c>
      <c r="J1295" s="1095" t="s">
        <v>1165</v>
      </c>
      <c r="K1295" s="1072" t="s">
        <v>1166</v>
      </c>
      <c r="L1295" s="1066" t="s">
        <v>190</v>
      </c>
      <c r="M1295" s="1066" t="s">
        <v>190</v>
      </c>
      <c r="N1295" s="1066" t="s">
        <v>190</v>
      </c>
      <c r="O1295" s="1142">
        <v>44522</v>
      </c>
      <c r="P1295" s="1142">
        <v>45251</v>
      </c>
      <c r="Q1295" s="1072" t="s">
        <v>100</v>
      </c>
      <c r="R1295" s="1176">
        <v>47286</v>
      </c>
      <c r="S1295" s="1072" t="s">
        <v>158</v>
      </c>
      <c r="T1295" s="1066" t="s">
        <v>190</v>
      </c>
      <c r="U1295" s="1066" t="s">
        <v>190</v>
      </c>
      <c r="V1295" s="1066"/>
      <c r="W1295" s="1072" t="s">
        <v>459</v>
      </c>
      <c r="X1295" s="1116" t="s">
        <v>1346</v>
      </c>
      <c r="Y1295" s="1116" t="s">
        <v>1266</v>
      </c>
      <c r="Z1295" s="1068" t="s">
        <v>190</v>
      </c>
      <c r="AA1295" s="1068" t="s">
        <v>190</v>
      </c>
      <c r="AB1295" s="1068" t="s">
        <v>190</v>
      </c>
      <c r="AC1295" s="694" t="s">
        <v>4248</v>
      </c>
      <c r="AD1295" s="1068" t="s">
        <v>190</v>
      </c>
      <c r="AE1295" s="1193">
        <v>47286</v>
      </c>
    </row>
    <row r="1296" spans="1:31" ht="52.8">
      <c r="A1296" s="852"/>
      <c r="B1296" s="520" t="s">
        <v>48</v>
      </c>
      <c r="C1296" s="465" t="s">
        <v>125</v>
      </c>
      <c r="D1296" s="466" t="s">
        <v>60</v>
      </c>
      <c r="E1296" s="466"/>
      <c r="F1296" s="466"/>
      <c r="G1296" s="466"/>
      <c r="H1296" s="466" t="s">
        <v>127</v>
      </c>
      <c r="I1296" s="465" t="s">
        <v>34</v>
      </c>
      <c r="J1296" s="1025" t="s">
        <v>2500</v>
      </c>
      <c r="K1296" s="484"/>
      <c r="L1296" s="466">
        <v>2</v>
      </c>
      <c r="M1296" s="468">
        <f>IF(O1296="tbc","",(IFERROR(EDATE($N1296,-3),"Invalid procurement method or date entered")))</f>
        <v>44374</v>
      </c>
      <c r="N1296" s="469">
        <f>IF(O1296="tbc","",(IFERROR(EDATE(O1296,-L1296),"Invalid procurement method or date entered")))</f>
        <v>44466</v>
      </c>
      <c r="O1296" s="489">
        <v>44527</v>
      </c>
      <c r="P1296" s="490" t="s">
        <v>125</v>
      </c>
      <c r="Q1296" s="490" t="s">
        <v>125</v>
      </c>
      <c r="R1296" s="483">
        <v>35000</v>
      </c>
      <c r="S1296" s="470" t="s">
        <v>1144</v>
      </c>
      <c r="T1296" s="470" t="s">
        <v>36</v>
      </c>
      <c r="U1296" s="470" t="s">
        <v>125</v>
      </c>
      <c r="V1296" s="470"/>
      <c r="W1296" s="354" t="s">
        <v>41</v>
      </c>
    </row>
    <row r="1297" spans="1:32" ht="72">
      <c r="A1297" s="889"/>
      <c r="B1297" s="114"/>
      <c r="C1297" s="1351" t="s">
        <v>4249</v>
      </c>
      <c r="D1297" s="9" t="s">
        <v>29</v>
      </c>
      <c r="E1297" s="9"/>
      <c r="F1297" s="9"/>
      <c r="G1297" s="9"/>
      <c r="H1297" s="5" t="s">
        <v>70</v>
      </c>
      <c r="I1297" s="5" t="s">
        <v>64</v>
      </c>
      <c r="J1297" s="16" t="s">
        <v>2717</v>
      </c>
      <c r="K1297" s="16"/>
      <c r="L1297" s="16"/>
      <c r="M1297" s="176">
        <v>43983</v>
      </c>
      <c r="N1297" s="176"/>
      <c r="O1297" s="176">
        <v>44531</v>
      </c>
      <c r="P1297" s="12">
        <v>48</v>
      </c>
      <c r="Q1297" s="12" t="s">
        <v>1061</v>
      </c>
      <c r="R1297" s="18">
        <v>800000</v>
      </c>
      <c r="S1297" s="5" t="s">
        <v>66</v>
      </c>
      <c r="T1297" s="49" t="s">
        <v>41</v>
      </c>
      <c r="U1297" s="45" t="s">
        <v>35</v>
      </c>
      <c r="V1297" s="45"/>
      <c r="W1297" s="12" t="s">
        <v>4250</v>
      </c>
      <c r="X1297" s="74" t="s">
        <v>1088</v>
      </c>
      <c r="Y1297" s="74" t="s">
        <v>457</v>
      </c>
      <c r="Z1297" s="74"/>
      <c r="AA1297" s="70"/>
      <c r="AB1297" s="316" t="s">
        <v>3429</v>
      </c>
      <c r="AC1297" s="95" t="s">
        <v>4251</v>
      </c>
      <c r="AD1297" s="70" t="s">
        <v>3577</v>
      </c>
      <c r="AE1297" s="306">
        <v>200000</v>
      </c>
    </row>
    <row r="1298" spans="1:32" ht="72">
      <c r="A1298" s="852"/>
      <c r="B1298" s="114"/>
      <c r="C1298" s="1351" t="s">
        <v>850</v>
      </c>
      <c r="D1298" s="5" t="s">
        <v>29</v>
      </c>
      <c r="E1298" s="5"/>
      <c r="F1298" s="5"/>
      <c r="G1298" s="5"/>
      <c r="H1298" s="5" t="s">
        <v>133</v>
      </c>
      <c r="I1298" s="12" t="s">
        <v>34</v>
      </c>
      <c r="J1298" s="16" t="s">
        <v>135</v>
      </c>
      <c r="K1298" s="16"/>
      <c r="L1298" s="5" t="e">
        <f>IF(OR(S1298=#REF!,S1298=#REF!,S1298=#REF!,S1298=#REF!,S1298=#REF!,S1298=#REF!,S1298=#REF!,S1298=#REF!),12,IF(OR(S1298=#REF!,S1298=#REF!,S1298=#REF!,S1298=#REF!,S1298=#REF!,S1298=#REF!,S1298=#REF!),3,IF(S1298=#REF!,1,IF(S1298=#REF!,18,IF(OR(S1298=#REF!,S1298=#REF!,S1298=#REF!,S1298=#REF!,S1298=#REF!),14,"Invalid proposed procurement method")))))</f>
        <v>#REF!</v>
      </c>
      <c r="M1298" s="193" t="str">
        <f>IFERROR(EDATE($N1298,-3),"Invalid procurement method or date entered")</f>
        <v>Invalid procurement method or date entered</v>
      </c>
      <c r="N1298" s="193" t="str">
        <f>IFERROR(EDATE(O1298,-L1298),"Invalid procurement method or date entered")</f>
        <v>Invalid procurement method or date entered</v>
      </c>
      <c r="O1298" s="176">
        <v>44531</v>
      </c>
      <c r="P1298" s="12">
        <v>48</v>
      </c>
      <c r="Q1298" s="7" t="s">
        <v>298</v>
      </c>
      <c r="R1298" s="18">
        <v>50000000</v>
      </c>
      <c r="S1298" s="5" t="s">
        <v>98</v>
      </c>
      <c r="T1298" s="5" t="s">
        <v>54</v>
      </c>
      <c r="U1298" s="12" t="s">
        <v>37</v>
      </c>
      <c r="V1298" s="12"/>
      <c r="W1298" s="12" t="s">
        <v>136</v>
      </c>
      <c r="X1298" s="74" t="s">
        <v>1053</v>
      </c>
      <c r="Y1298" s="74" t="s">
        <v>457</v>
      </c>
      <c r="Z1298" s="74"/>
      <c r="AA1298" s="70" t="s">
        <v>54</v>
      </c>
      <c r="AB1298" s="316" t="s">
        <v>1082</v>
      </c>
      <c r="AC1298" s="95" t="s">
        <v>1246</v>
      </c>
      <c r="AD1298" s="70" t="s">
        <v>416</v>
      </c>
      <c r="AE1298" s="306"/>
    </row>
    <row r="1299" spans="1:32" ht="72">
      <c r="A1299" s="852"/>
      <c r="B1299" s="1351" t="s">
        <v>28</v>
      </c>
      <c r="C1299" s="1351" t="s">
        <v>747</v>
      </c>
      <c r="D1299" s="9" t="s">
        <v>29</v>
      </c>
      <c r="E1299" s="9"/>
      <c r="F1299" s="9"/>
      <c r="G1299" s="9"/>
      <c r="H1299" s="5" t="s">
        <v>45</v>
      </c>
      <c r="I1299" s="5" t="s">
        <v>34</v>
      </c>
      <c r="J1299" s="16" t="s">
        <v>748</v>
      </c>
      <c r="K1299" s="8"/>
      <c r="L1299" s="5" t="e">
        <f>IF(OR(S1299=#REF!,S1299=#REF!,S1299=#REF!,S1299=#REF!,S1299=#REF!,S1299=#REF!,S1299=#REF!,S1299=#REF!),12,IF(OR(S1299=#REF!,S1299=#REF!,S1299=#REF!,S1299=#REF!,S1299=#REF!,S1299=#REF!,S1299=#REF!),3,IF(S1299=#REF!,1,IF(S1299=#REF!,18,IF(OR(S1299=#REF!,S1299=#REF!,S1299=#REF!,S1299=#REF!,S1299=#REF!),14,"Invalid proposed procurement method")))))</f>
        <v>#REF!</v>
      </c>
      <c r="M1299" s="193" t="str">
        <f>IFERROR(EDATE($N1299,-3),"Invalid procurement method or date entered")</f>
        <v>Invalid procurement method or date entered</v>
      </c>
      <c r="N1299" s="193" t="str">
        <f>IFERROR(EDATE(O1299,-L1299),"Invalid procurement method or date entered")</f>
        <v>Invalid procurement method or date entered</v>
      </c>
      <c r="O1299" s="193">
        <v>44531</v>
      </c>
      <c r="P1299" s="5">
        <v>52</v>
      </c>
      <c r="Q1299" s="5" t="s">
        <v>749</v>
      </c>
      <c r="R1299" s="18">
        <v>2800000</v>
      </c>
      <c r="S1299" s="5" t="s">
        <v>109</v>
      </c>
      <c r="T1299" s="49" t="s">
        <v>41</v>
      </c>
      <c r="U1299" s="203">
        <v>44519</v>
      </c>
      <c r="V1299" s="203"/>
      <c r="W1299" s="5" t="s">
        <v>138</v>
      </c>
      <c r="X1299" s="74" t="s">
        <v>1053</v>
      </c>
      <c r="Y1299" s="74" t="s">
        <v>457</v>
      </c>
      <c r="Z1299" s="74" t="s">
        <v>80</v>
      </c>
      <c r="AA1299" s="74" t="s">
        <v>41</v>
      </c>
      <c r="AB1299" s="316" t="s">
        <v>1263</v>
      </c>
      <c r="AC1299" s="95" t="s">
        <v>1246</v>
      </c>
      <c r="AD1299" s="70" t="s">
        <v>45</v>
      </c>
      <c r="AE1299" s="306"/>
    </row>
    <row r="1300" spans="1:32" ht="115.2">
      <c r="A1300" s="888"/>
      <c r="B1300" s="1351" t="s">
        <v>28</v>
      </c>
      <c r="C1300" s="16" t="s">
        <v>4252</v>
      </c>
      <c r="D1300" s="9" t="s">
        <v>29</v>
      </c>
      <c r="E1300" s="9"/>
      <c r="F1300" s="9"/>
      <c r="G1300" s="9"/>
      <c r="H1300" s="5" t="s">
        <v>70</v>
      </c>
      <c r="I1300" s="5" t="s">
        <v>34</v>
      </c>
      <c r="J1300" s="16" t="s">
        <v>4253</v>
      </c>
      <c r="K1300" s="16"/>
      <c r="L1300" s="5" t="e">
        <f>IF(OR(S1300=#REF!,S1300=#REF!,S1300=#REF!,S1300=#REF!,S1300=#REF!,S1300=#REF!,S1300=#REF!,S1300=#REF!),12,IF(OR(S1300=#REF!,S1300=#REF!,S1300=#REF!,S1300=#REF!,S1300=#REF!,S1300=#REF!,S1300=#REF!),3,IF(S1300=#REF!,1,IF(S1300=#REF!,18,IF(OR(S1300=#REF!,S1300=#REF!,S1300=#REF!,S1300=#REF!,S1300=#REF!),14,"Invalid proposed procurement method")))))</f>
        <v>#REF!</v>
      </c>
      <c r="M1300" s="193" t="str">
        <f>IFERROR(EDATE($N1300,-3),"Invalid procurement method or date entered")</f>
        <v>Invalid procurement method or date entered</v>
      </c>
      <c r="N1300" s="193" t="str">
        <f>IFERROR(EDATE(O1300,-L1300),"Invalid procurement method or date entered")</f>
        <v>Invalid procurement method or date entered</v>
      </c>
      <c r="O1300" s="176">
        <v>44531</v>
      </c>
      <c r="P1300" s="12">
        <v>48</v>
      </c>
      <c r="Q1300" s="12" t="s">
        <v>191</v>
      </c>
      <c r="R1300" s="18">
        <v>1033348</v>
      </c>
      <c r="S1300" s="5" t="s">
        <v>109</v>
      </c>
      <c r="T1300" s="49" t="s">
        <v>41</v>
      </c>
      <c r="U1300" s="203">
        <v>44518</v>
      </c>
      <c r="V1300" s="203"/>
      <c r="W1300" s="5" t="s">
        <v>4254</v>
      </c>
      <c r="X1300" s="74" t="s">
        <v>1091</v>
      </c>
      <c r="Y1300" s="74" t="s">
        <v>457</v>
      </c>
      <c r="Z1300" s="74" t="s">
        <v>40</v>
      </c>
      <c r="AA1300" s="70" t="s">
        <v>41</v>
      </c>
      <c r="AB1300" s="316" t="s">
        <v>1245</v>
      </c>
      <c r="AC1300" s="95" t="s">
        <v>4255</v>
      </c>
      <c r="AD1300" s="74" t="s">
        <v>74</v>
      </c>
      <c r="AE1300" s="191">
        <v>258337</v>
      </c>
    </row>
    <row r="1301" spans="1:32" ht="43.2">
      <c r="A1301" s="1364"/>
      <c r="B1301" s="1351" t="s">
        <v>28</v>
      </c>
      <c r="C1301" s="4"/>
      <c r="D1301" s="5" t="s">
        <v>60</v>
      </c>
      <c r="E1301" s="5"/>
      <c r="F1301" s="5"/>
      <c r="G1301" s="5"/>
      <c r="H1301" s="5" t="s">
        <v>70</v>
      </c>
      <c r="I1301" s="5" t="s">
        <v>34</v>
      </c>
      <c r="J1301" s="16" t="s">
        <v>1007</v>
      </c>
      <c r="K1301" s="16"/>
      <c r="L1301" s="5" t="e">
        <f>IF(OR(S1301=#REF!,S1301=#REF!,S1301=#REF!,S1301=#REF!,S1301=#REF!,S1301=#REF!,S1301=#REF!,S1301=#REF!),12,IF(OR(S1301=#REF!,S1301=#REF!,S1301=#REF!,S1301=#REF!,S1301=#REF!,S1301=#REF!,S1301=#REF!),3,IF(S1301=#REF!,1,IF(S1301=#REF!,18,IF(OR(S1301=#REF!,S1301=#REF!,S1301=#REF!,S1301=#REF!,S1301=#REF!),14,"Invalid proposed procurement method")))))</f>
        <v>#REF!</v>
      </c>
      <c r="M1301" s="193">
        <v>44166</v>
      </c>
      <c r="N1301" s="193">
        <v>44228</v>
      </c>
      <c r="O1301" s="193">
        <v>44531</v>
      </c>
      <c r="P1301" s="12">
        <v>36</v>
      </c>
      <c r="Q1301" s="12">
        <v>36</v>
      </c>
      <c r="R1301" s="18">
        <v>47145</v>
      </c>
      <c r="S1301" s="5" t="s">
        <v>217</v>
      </c>
      <c r="T1301" s="5" t="s">
        <v>54</v>
      </c>
      <c r="U1301" s="12" t="s">
        <v>37</v>
      </c>
      <c r="V1301" s="12"/>
      <c r="W1301" s="5" t="s">
        <v>264</v>
      </c>
      <c r="X1301" s="74" t="s">
        <v>1101</v>
      </c>
      <c r="Y1301" s="74" t="s">
        <v>457</v>
      </c>
      <c r="Z1301" s="74"/>
      <c r="AA1301" s="74"/>
      <c r="AB1301" s="316" t="s">
        <v>1263</v>
      </c>
      <c r="AC1301" s="95" t="s">
        <v>4256</v>
      </c>
      <c r="AD1301" s="74" t="s">
        <v>96</v>
      </c>
      <c r="AE1301" s="204"/>
    </row>
    <row r="1302" spans="1:32" ht="57.6">
      <c r="A1302" s="888"/>
      <c r="B1302" s="1351" t="s">
        <v>28</v>
      </c>
      <c r="C1302" s="4" t="s">
        <v>35</v>
      </c>
      <c r="D1302" s="728" t="s">
        <v>29</v>
      </c>
      <c r="E1302" s="728"/>
      <c r="F1302" s="728"/>
      <c r="G1302" s="728"/>
      <c r="H1302" s="55" t="s">
        <v>969</v>
      </c>
      <c r="I1302" s="55" t="s">
        <v>34</v>
      </c>
      <c r="J1302" s="743" t="s">
        <v>4257</v>
      </c>
      <c r="K1302" s="743"/>
      <c r="L1302" s="55">
        <v>2</v>
      </c>
      <c r="M1302" s="199">
        <f>IFERROR(EDATE($N1302,-3),"Invalid procurement method or date entered")</f>
        <v>44378</v>
      </c>
      <c r="N1302" s="199">
        <f>IFERROR(EDATE(O1302,-L1302),"Invalid procurement method or date entered")</f>
        <v>44470</v>
      </c>
      <c r="O1302" s="212">
        <v>44531</v>
      </c>
      <c r="P1302" s="196">
        <v>24</v>
      </c>
      <c r="Q1302" s="196">
        <v>24</v>
      </c>
      <c r="R1302" s="195">
        <v>5400</v>
      </c>
      <c r="S1302" s="1343" t="s">
        <v>909</v>
      </c>
      <c r="T1302" s="55" t="s">
        <v>54</v>
      </c>
      <c r="U1302" s="14" t="s">
        <v>37</v>
      </c>
      <c r="V1302" s="296"/>
      <c r="W1302" s="55" t="s">
        <v>971</v>
      </c>
      <c r="X1302" s="74" t="s">
        <v>1101</v>
      </c>
      <c r="Y1302" s="74" t="s">
        <v>457</v>
      </c>
      <c r="Z1302" s="74" t="s">
        <v>95</v>
      </c>
      <c r="AA1302" s="74" t="s">
        <v>41</v>
      </c>
      <c r="AB1302" s="316" t="s">
        <v>1263</v>
      </c>
      <c r="AC1302" s="95" t="s">
        <v>4258</v>
      </c>
      <c r="AD1302" s="70" t="s">
        <v>450</v>
      </c>
      <c r="AE1302" s="306"/>
    </row>
    <row r="1303" spans="1:32" ht="72">
      <c r="A1303" s="1465"/>
      <c r="B1303" s="1351" t="s">
        <v>28</v>
      </c>
      <c r="C1303" s="4" t="s">
        <v>4259</v>
      </c>
      <c r="D1303" s="728" t="s">
        <v>60</v>
      </c>
      <c r="E1303" s="728"/>
      <c r="F1303" s="728"/>
      <c r="G1303" s="728"/>
      <c r="H1303" s="55" t="s">
        <v>4260</v>
      </c>
      <c r="I1303" s="55" t="s">
        <v>34</v>
      </c>
      <c r="J1303" s="743" t="s">
        <v>4261</v>
      </c>
      <c r="K1303" s="181"/>
      <c r="L1303" s="5" t="e">
        <f>IF(OR(S1303=#REF!,S1303=#REF!,S1303=#REF!,S1303=#REF!,S1303=#REF!,S1303=#REF!,S1303=#REF!,S1303=#REF!),12,IF(OR(S1303=#REF!,S1303=#REF!,S1303=#REF!,S1303=#REF!,S1303=#REF!,S1303=#REF!,S1303=#REF!),3,IF(S1303=#REF!,1,IF(S1303=#REF!,18,IF(OR(S1303=#REF!,S1303=#REF!,S1303=#REF!,S1303=#REF!,S1303=#REF!),14,"Invalid proposed procurement method")))))</f>
        <v>#REF!</v>
      </c>
      <c r="M1303" s="199">
        <v>44378</v>
      </c>
      <c r="N1303" s="199" t="str">
        <f>IFERROR(EDATE(O1303,-L1303),"Invalid procurement method or date entered")</f>
        <v>Invalid procurement method or date entered</v>
      </c>
      <c r="O1303" s="199">
        <v>44531</v>
      </c>
      <c r="P1303" s="1343">
        <v>6</v>
      </c>
      <c r="Q1303" s="1343">
        <v>6</v>
      </c>
      <c r="R1303" s="195">
        <v>39500</v>
      </c>
      <c r="S1303" s="1343" t="s">
        <v>163</v>
      </c>
      <c r="T1303" s="728" t="s">
        <v>54</v>
      </c>
      <c r="U1303" s="15" t="s">
        <v>37</v>
      </c>
      <c r="V1303" s="1158"/>
      <c r="W1303" s="55" t="s">
        <v>4262</v>
      </c>
      <c r="X1303" s="74" t="s">
        <v>1053</v>
      </c>
      <c r="Y1303" s="74" t="s">
        <v>457</v>
      </c>
      <c r="Z1303" s="74" t="s">
        <v>80</v>
      </c>
      <c r="AA1303" s="74" t="s">
        <v>54</v>
      </c>
      <c r="AB1303" s="316" t="s">
        <v>1263</v>
      </c>
      <c r="AC1303" s="95" t="s">
        <v>1246</v>
      </c>
      <c r="AD1303" s="74" t="s">
        <v>171</v>
      </c>
      <c r="AE1303" s="204"/>
    </row>
    <row r="1304" spans="1:32" ht="57.6">
      <c r="A1304" s="1363"/>
      <c r="B1304" s="1351" t="s">
        <v>28</v>
      </c>
      <c r="C1304" s="4"/>
      <c r="D1304" s="9" t="s">
        <v>29</v>
      </c>
      <c r="E1304" s="9"/>
      <c r="F1304" s="9"/>
      <c r="G1304" s="9"/>
      <c r="H1304" s="5" t="s">
        <v>171</v>
      </c>
      <c r="I1304" s="5" t="s">
        <v>34</v>
      </c>
      <c r="J1304" s="16" t="s">
        <v>4263</v>
      </c>
      <c r="K1304" s="8"/>
      <c r="L1304" s="5" t="e">
        <f>IF(OR(S1304=#REF!,S1304=#REF!,S1304=#REF!,S1304=#REF!,S1304=#REF!,S1304=#REF!,S1304=#REF!,S1304=#REF!),12,IF(OR(S1304=#REF!,S1304=#REF!,S1304=#REF!,S1304=#REF!,S1304=#REF!,S1304=#REF!,S1304=#REF!),3,IF(S1304=#REF!,1,IF(S1304=#REF!,18,IF(OR(S1304=#REF!,S1304=#REF!,S1304=#REF!,S1304=#REF!,S1304=#REF!),14,"Invalid proposed procurement method")))))</f>
        <v>#REF!</v>
      </c>
      <c r="M1304" s="193">
        <v>44446</v>
      </c>
      <c r="N1304" s="193">
        <v>44446</v>
      </c>
      <c r="O1304" s="193">
        <v>44531</v>
      </c>
      <c r="P1304" s="5">
        <v>24</v>
      </c>
      <c r="Q1304" s="7" t="s">
        <v>365</v>
      </c>
      <c r="R1304" s="18">
        <v>38000000</v>
      </c>
      <c r="S1304" s="5" t="s">
        <v>46</v>
      </c>
      <c r="T1304" s="47" t="s">
        <v>41</v>
      </c>
      <c r="U1304" s="203">
        <v>44453</v>
      </c>
      <c r="V1304" s="203"/>
      <c r="W1304" s="5" t="s">
        <v>4264</v>
      </c>
      <c r="X1304" s="74" t="s">
        <v>1101</v>
      </c>
      <c r="Y1304" s="74" t="s">
        <v>457</v>
      </c>
      <c r="Z1304" s="74"/>
      <c r="AA1304" s="74" t="s">
        <v>54</v>
      </c>
      <c r="AB1304" s="316" t="s">
        <v>1245</v>
      </c>
      <c r="AC1304" s="95" t="s">
        <v>4265</v>
      </c>
      <c r="AD1304" s="70" t="s">
        <v>171</v>
      </c>
      <c r="AE1304" s="204"/>
    </row>
    <row r="1305" spans="1:32" ht="57.6">
      <c r="A1305" s="895"/>
      <c r="B1305" s="323" t="s">
        <v>145</v>
      </c>
      <c r="C1305" s="323"/>
      <c r="D1305" s="8" t="s">
        <v>92</v>
      </c>
      <c r="E1305" s="8"/>
      <c r="F1305" s="8"/>
      <c r="G1305" s="8"/>
      <c r="H1305" s="8" t="s">
        <v>148</v>
      </c>
      <c r="I1305" s="8" t="s">
        <v>64</v>
      </c>
      <c r="J1305" s="16" t="s">
        <v>918</v>
      </c>
      <c r="K1305" s="8"/>
      <c r="L1305" s="78">
        <v>12</v>
      </c>
      <c r="M1305" s="394">
        <f>IFERROR(EDATE(N1305,-3),"Invalid procurement method or date entered")</f>
        <v>44075</v>
      </c>
      <c r="N1305" s="346">
        <f>IFERROR(EDATE(O1305,-L1305),"Invalid procurement method or date entered")</f>
        <v>44166</v>
      </c>
      <c r="O1305" s="328">
        <v>44531</v>
      </c>
      <c r="P1305" s="330">
        <v>84</v>
      </c>
      <c r="Q1305" s="330" t="s">
        <v>712</v>
      </c>
      <c r="R1305" s="43" t="s">
        <v>35</v>
      </c>
      <c r="S1305" s="5" t="s">
        <v>66</v>
      </c>
      <c r="T1305" s="184" t="s">
        <v>41</v>
      </c>
      <c r="U1305" s="184" t="s">
        <v>4266</v>
      </c>
      <c r="V1305" s="184"/>
      <c r="W1305" s="8" t="s">
        <v>1361</v>
      </c>
      <c r="X1305" s="95" t="s">
        <v>428</v>
      </c>
      <c r="Y1305" s="95" t="s">
        <v>39</v>
      </c>
      <c r="Z1305" s="95"/>
      <c r="AA1305" s="95" t="s">
        <v>80</v>
      </c>
      <c r="AB1305" s="837"/>
      <c r="AC1305" s="390">
        <v>44358</v>
      </c>
      <c r="AD1305" s="390"/>
      <c r="AE1305" s="390"/>
    </row>
    <row r="1306" spans="1:32" ht="72">
      <c r="A1306" s="895"/>
      <c r="B1306" s="1351" t="s">
        <v>28</v>
      </c>
      <c r="C1306" s="4">
        <v>24244</v>
      </c>
      <c r="D1306" s="9" t="s">
        <v>60</v>
      </c>
      <c r="E1306" s="9"/>
      <c r="F1306" s="9"/>
      <c r="G1306" s="9"/>
      <c r="H1306" s="5" t="s">
        <v>4260</v>
      </c>
      <c r="I1306" s="5" t="s">
        <v>34</v>
      </c>
      <c r="J1306" s="16" t="s">
        <v>4267</v>
      </c>
      <c r="K1306" s="8"/>
      <c r="L1306" s="5" t="e">
        <f>IF(OR(S1306=#REF!,S1306=#REF!,S1306=#REF!,S1306=#REF!,S1306=#REF!,S1306=#REF!,S1306=#REF!,S1306=#REF!),12,IF(OR(S1306=#REF!,S1306=#REF!,S1306=#REF!,S1306=#REF!,S1306=#REF!,S1306=#REF!,S1306=#REF!),3,IF(S1306=#REF!,1,IF(S1306=#REF!,18,IF(OR(S1306=#REF!,S1306=#REF!,S1306=#REF!,S1306=#REF!,S1306=#REF!),14,"Invalid proposed procurement method")))))</f>
        <v>#REF!</v>
      </c>
      <c r="M1306" s="193">
        <v>44378</v>
      </c>
      <c r="N1306" s="193" t="str">
        <f>IFERROR(EDATE(O1306,-L1306),"Invalid procurement method or date entered")</f>
        <v>Invalid procurement method or date entered</v>
      </c>
      <c r="O1306" s="193">
        <v>44531</v>
      </c>
      <c r="P1306" s="1335">
        <v>7</v>
      </c>
      <c r="Q1306" s="1335">
        <v>7</v>
      </c>
      <c r="R1306" s="18">
        <v>330000</v>
      </c>
      <c r="S1306" s="1335" t="s">
        <v>109</v>
      </c>
      <c r="T1306" s="47" t="s">
        <v>36</v>
      </c>
      <c r="U1306" s="45" t="s">
        <v>43</v>
      </c>
      <c r="V1306" s="45"/>
      <c r="W1306" s="5" t="s">
        <v>1124</v>
      </c>
      <c r="X1306" s="74" t="s">
        <v>90</v>
      </c>
      <c r="Y1306" s="74" t="s">
        <v>457</v>
      </c>
      <c r="Z1306" s="74" t="s">
        <v>80</v>
      </c>
      <c r="AA1306" s="74" t="s">
        <v>54</v>
      </c>
      <c r="AB1306" s="1369" t="s">
        <v>1245</v>
      </c>
      <c r="AC1306" s="95" t="s">
        <v>4268</v>
      </c>
      <c r="AD1306" s="74" t="s">
        <v>171</v>
      </c>
      <c r="AE1306" s="204"/>
    </row>
    <row r="1307" spans="1:32" ht="39.6">
      <c r="A1307" s="852"/>
      <c r="B1307" s="520" t="s">
        <v>48</v>
      </c>
      <c r="C1307" s="465" t="s">
        <v>125</v>
      </c>
      <c r="D1307" s="465" t="s">
        <v>48</v>
      </c>
      <c r="E1307" s="465"/>
      <c r="F1307" s="465"/>
      <c r="G1307" s="465"/>
      <c r="H1307" s="466" t="s">
        <v>60</v>
      </c>
      <c r="I1307" s="474" t="s">
        <v>34</v>
      </c>
      <c r="J1307" s="1024" t="s">
        <v>2438</v>
      </c>
      <c r="K1307" s="484"/>
      <c r="L1307" s="466">
        <v>1</v>
      </c>
      <c r="M1307" s="469">
        <f>IF(O1307="tbc","",(IFERROR(EDATE($N1307,-3),"Invalid procurement method or date entered")))</f>
        <v>44409</v>
      </c>
      <c r="N1307" s="469">
        <f>IF(O1307="tbc","",(IFERROR(EDATE(O1307,-L1307),"Invalid procurement method or date entered")))</f>
        <v>44501</v>
      </c>
      <c r="O1307" s="470">
        <v>44531</v>
      </c>
      <c r="P1307" s="471">
        <v>1</v>
      </c>
      <c r="Q1307" s="471">
        <v>1</v>
      </c>
      <c r="R1307" s="483">
        <v>75000</v>
      </c>
      <c r="S1307" s="470" t="s">
        <v>163</v>
      </c>
      <c r="T1307" s="470" t="s">
        <v>36</v>
      </c>
      <c r="U1307" s="470" t="s">
        <v>125</v>
      </c>
      <c r="V1307" s="470"/>
      <c r="W1307" s="513" t="s">
        <v>1304</v>
      </c>
    </row>
    <row r="1308" spans="1:32" ht="92.4">
      <c r="A1308" s="852"/>
      <c r="B1308" s="520" t="s">
        <v>48</v>
      </c>
      <c r="C1308" s="465" t="s">
        <v>125</v>
      </c>
      <c r="D1308" s="466" t="s">
        <v>60</v>
      </c>
      <c r="E1308" s="466"/>
      <c r="F1308" s="466"/>
      <c r="G1308" s="466"/>
      <c r="H1308" s="466" t="s">
        <v>127</v>
      </c>
      <c r="I1308" s="474" t="s">
        <v>34</v>
      </c>
      <c r="J1308" s="1024" t="s">
        <v>2499</v>
      </c>
      <c r="K1308" s="546"/>
      <c r="L1308" s="466">
        <v>1</v>
      </c>
      <c r="M1308" s="468">
        <f>IF(O1308="tbc","",(IFERROR(EDATE($N1308,-3),"Invalid procurement method or date entered")))</f>
        <v>44409</v>
      </c>
      <c r="N1308" s="469">
        <f>IF(O1308="tbc","",(IFERROR(EDATE(O1308,-L1308),"Invalid procurement method or date entered")))</f>
        <v>44501</v>
      </c>
      <c r="O1308" s="470">
        <v>44531</v>
      </c>
      <c r="P1308" s="471">
        <v>1</v>
      </c>
      <c r="Q1308" s="471">
        <v>1</v>
      </c>
      <c r="R1308" s="483">
        <f>75000+75000</f>
        <v>150000</v>
      </c>
      <c r="S1308" s="470" t="s">
        <v>163</v>
      </c>
      <c r="T1308" s="470" t="s">
        <v>36</v>
      </c>
      <c r="U1308" s="470" t="s">
        <v>125</v>
      </c>
      <c r="V1308" s="470"/>
      <c r="W1308" s="476" t="s">
        <v>41</v>
      </c>
    </row>
    <row r="1309" spans="1:32" ht="69">
      <c r="A1309" s="695" t="s">
        <v>43</v>
      </c>
      <c r="B1309" s="620" t="s">
        <v>28</v>
      </c>
      <c r="C1309" s="641" t="s">
        <v>998</v>
      </c>
      <c r="D1309" s="666" t="s">
        <v>29</v>
      </c>
      <c r="E1309" s="638" t="s">
        <v>30</v>
      </c>
      <c r="F1309" s="666" t="s">
        <v>31</v>
      </c>
      <c r="G1309" s="666" t="s">
        <v>69</v>
      </c>
      <c r="H1309" s="628" t="s">
        <v>70</v>
      </c>
      <c r="I1309" s="628" t="s">
        <v>50</v>
      </c>
      <c r="J1309" s="1049" t="s">
        <v>4269</v>
      </c>
      <c r="K1309" s="923"/>
      <c r="L1309" s="628" t="e">
        <f>IF(OR(S1309=#REF!,S1309=#REF!,S1309=#REF!,S1309=#REF!,S1309=#REF!,S1309=#REF!,S1309=#REF!,S1309=#REF!),12,IF(OR(S1309=#REF!,S1309=#REF!,S1309=#REF!,S1309=#REF!,S1309=#REF!,S1309=#REF!,S1309=#REF!),3,IF(S1309=#REF!,1,IF(S1309=#REF!,18,IF(OR(S1309=#REF!,S1309=#REF!,S1309=#REF!,S1309=#REF!,S1309=#REF!),14,"Invalid proposed procurement method")))))</f>
        <v>#REF!</v>
      </c>
      <c r="M1309" s="651">
        <v>44256</v>
      </c>
      <c r="N1309" s="651" t="str">
        <f>IFERROR(EDATE(O1309,-L1309),"Invalid procurement method or date entered")</f>
        <v>Invalid procurement method or date entered</v>
      </c>
      <c r="O1309" s="919">
        <v>44531</v>
      </c>
      <c r="P1309" s="923">
        <v>36</v>
      </c>
      <c r="Q1309" s="924" t="s">
        <v>488</v>
      </c>
      <c r="R1309" s="653" t="s">
        <v>4270</v>
      </c>
      <c r="S1309" s="923" t="s">
        <v>109</v>
      </c>
      <c r="T1309" s="651" t="s">
        <v>41</v>
      </c>
      <c r="U1309" s="651">
        <v>44463</v>
      </c>
      <c r="V1309" s="651"/>
      <c r="W1309" s="641" t="s">
        <v>301</v>
      </c>
      <c r="X1309" s="669" t="s">
        <v>219</v>
      </c>
      <c r="Y1309" s="669" t="s">
        <v>39</v>
      </c>
      <c r="Z1309" s="669" t="s">
        <v>40</v>
      </c>
      <c r="AA1309" s="669" t="s">
        <v>41</v>
      </c>
      <c r="AB1309" s="993">
        <v>44960</v>
      </c>
      <c r="AC1309" s="1111" t="s">
        <v>4271</v>
      </c>
      <c r="AD1309" s="669" t="s">
        <v>141</v>
      </c>
      <c r="AE1309" s="686"/>
      <c r="AF1309" s="691"/>
    </row>
    <row r="1310" spans="1:32" ht="15.6">
      <c r="A1310" s="1061">
        <v>44974</v>
      </c>
      <c r="B1310" s="1066" t="s">
        <v>210</v>
      </c>
      <c r="C1310" s="1072">
        <v>24317</v>
      </c>
      <c r="D1310" s="1072" t="s">
        <v>1177</v>
      </c>
      <c r="E1310" s="1066" t="s">
        <v>210</v>
      </c>
      <c r="F1310" s="1066" t="s">
        <v>190</v>
      </c>
      <c r="G1310" s="1066" t="s">
        <v>190</v>
      </c>
      <c r="H1310" s="1066" t="s">
        <v>190</v>
      </c>
      <c r="I1310" s="1066" t="s">
        <v>190</v>
      </c>
      <c r="J1310" s="1095" t="s">
        <v>4272</v>
      </c>
      <c r="K1310" s="1072" t="s">
        <v>4273</v>
      </c>
      <c r="L1310" s="1066" t="s">
        <v>190</v>
      </c>
      <c r="M1310" s="1066" t="s">
        <v>190</v>
      </c>
      <c r="N1310" s="1066" t="s">
        <v>190</v>
      </c>
      <c r="O1310" s="1142">
        <v>44531</v>
      </c>
      <c r="P1310" s="1142">
        <v>44651</v>
      </c>
      <c r="Q1310" s="1072" t="s">
        <v>100</v>
      </c>
      <c r="R1310" s="1176">
        <v>22875</v>
      </c>
      <c r="S1310" s="1072" t="s">
        <v>1160</v>
      </c>
      <c r="T1310" s="1066" t="s">
        <v>190</v>
      </c>
      <c r="U1310" s="1066" t="s">
        <v>190</v>
      </c>
      <c r="V1310" s="1066"/>
      <c r="W1310" s="1072" t="s">
        <v>1178</v>
      </c>
      <c r="X1310" s="1116" t="s">
        <v>1346</v>
      </c>
      <c r="Y1310" s="1116" t="s">
        <v>1266</v>
      </c>
      <c r="Z1310" s="1068" t="s">
        <v>190</v>
      </c>
      <c r="AA1310" s="1068" t="s">
        <v>190</v>
      </c>
      <c r="AB1310" s="1068" t="s">
        <v>190</v>
      </c>
      <c r="AC1310" s="694" t="s">
        <v>4274</v>
      </c>
      <c r="AD1310" s="1068" t="s">
        <v>190</v>
      </c>
      <c r="AE1310" s="1193">
        <v>22875</v>
      </c>
    </row>
    <row r="1311" spans="1:32" ht="15.6">
      <c r="A1311" s="1061">
        <v>44974</v>
      </c>
      <c r="B1311" s="1066" t="s">
        <v>210</v>
      </c>
      <c r="C1311" s="1072">
        <v>24320</v>
      </c>
      <c r="D1311" s="1072" t="s">
        <v>1177</v>
      </c>
      <c r="E1311" s="1066" t="s">
        <v>210</v>
      </c>
      <c r="F1311" s="1066" t="s">
        <v>190</v>
      </c>
      <c r="G1311" s="1066" t="s">
        <v>190</v>
      </c>
      <c r="H1311" s="1066" t="s">
        <v>190</v>
      </c>
      <c r="I1311" s="1066" t="s">
        <v>190</v>
      </c>
      <c r="J1311" s="1095" t="s">
        <v>4275</v>
      </c>
      <c r="K1311" s="1072" t="s">
        <v>4273</v>
      </c>
      <c r="L1311" s="1066" t="s">
        <v>190</v>
      </c>
      <c r="M1311" s="1066" t="s">
        <v>190</v>
      </c>
      <c r="N1311" s="1066" t="s">
        <v>190</v>
      </c>
      <c r="O1311" s="1142">
        <v>44531</v>
      </c>
      <c r="P1311" s="1142">
        <v>44651</v>
      </c>
      <c r="Q1311" s="1072" t="s">
        <v>100</v>
      </c>
      <c r="R1311" s="1176">
        <v>5999</v>
      </c>
      <c r="S1311" s="1072" t="s">
        <v>1160</v>
      </c>
      <c r="T1311" s="1066" t="s">
        <v>190</v>
      </c>
      <c r="U1311" s="1066" t="s">
        <v>190</v>
      </c>
      <c r="V1311" s="1066"/>
      <c r="W1311" s="1072" t="s">
        <v>1178</v>
      </c>
      <c r="X1311" s="1116" t="s">
        <v>1346</v>
      </c>
      <c r="Y1311" s="1116" t="s">
        <v>1266</v>
      </c>
      <c r="Z1311" s="1068" t="s">
        <v>190</v>
      </c>
      <c r="AA1311" s="1068" t="s">
        <v>190</v>
      </c>
      <c r="AB1311" s="1068" t="s">
        <v>190</v>
      </c>
      <c r="AC1311" s="694" t="s">
        <v>4274</v>
      </c>
      <c r="AD1311" s="1068" t="s">
        <v>190</v>
      </c>
      <c r="AE1311" s="1193">
        <v>5999</v>
      </c>
    </row>
    <row r="1312" spans="1:32" ht="52.8">
      <c r="A1312" s="852"/>
      <c r="B1312" s="520" t="s">
        <v>48</v>
      </c>
      <c r="C1312" s="465" t="s">
        <v>2465</v>
      </c>
      <c r="D1312" s="466" t="s">
        <v>60</v>
      </c>
      <c r="E1312" s="466"/>
      <c r="F1312" s="466"/>
      <c r="G1312" s="466"/>
      <c r="H1312" s="466" t="s">
        <v>127</v>
      </c>
      <c r="I1312" s="474" t="s">
        <v>34</v>
      </c>
      <c r="J1312" s="549" t="s">
        <v>2466</v>
      </c>
      <c r="K1312" s="484"/>
      <c r="L1312" s="466">
        <v>3</v>
      </c>
      <c r="M1312" s="469">
        <f>IF(O1312="tbc","",(IFERROR(EDATE($N1312,-3),"Invalid procurement method or date entered")))</f>
        <v>44350</v>
      </c>
      <c r="N1312" s="469">
        <f>IF(O1312="tbc","",(IFERROR(EDATE(O1312,-L1312),"Invalid procurement method or date entered")))</f>
        <v>44442</v>
      </c>
      <c r="O1312" s="470">
        <v>44533</v>
      </c>
      <c r="P1312" s="485" t="s">
        <v>125</v>
      </c>
      <c r="Q1312" s="485" t="s">
        <v>125</v>
      </c>
      <c r="R1312" s="483">
        <v>30000</v>
      </c>
      <c r="S1312" s="470" t="s">
        <v>163</v>
      </c>
      <c r="T1312" s="470" t="s">
        <v>36</v>
      </c>
      <c r="U1312" s="470" t="s">
        <v>125</v>
      </c>
      <c r="V1312" s="470"/>
      <c r="W1312" s="354" t="s">
        <v>41</v>
      </c>
    </row>
    <row r="1313" spans="1:32" ht="43.2">
      <c r="A1313" s="888"/>
      <c r="B1313" s="1351" t="s">
        <v>28</v>
      </c>
      <c r="C1313" s="4" t="s">
        <v>111</v>
      </c>
      <c r="D1313" s="5" t="s">
        <v>29</v>
      </c>
      <c r="E1313" s="5"/>
      <c r="F1313" s="5"/>
      <c r="G1313" s="5"/>
      <c r="H1313" s="5" t="s">
        <v>70</v>
      </c>
      <c r="I1313" s="5" t="s">
        <v>64</v>
      </c>
      <c r="J1313" s="16" t="s">
        <v>112</v>
      </c>
      <c r="K1313" s="16"/>
      <c r="L1313" s="5">
        <v>6</v>
      </c>
      <c r="M1313" s="193">
        <f>IFERROR(EDATE($N1313,-3),"Invalid procurement method or date entered")</f>
        <v>44259</v>
      </c>
      <c r="N1313" s="193">
        <f>IFERROR(EDATE(O1313,-L1313),"Invalid procurement method or date entered")</f>
        <v>44351</v>
      </c>
      <c r="O1313" s="176">
        <v>44534</v>
      </c>
      <c r="P1313" s="12">
        <v>60</v>
      </c>
      <c r="Q1313" s="7" t="s">
        <v>3817</v>
      </c>
      <c r="R1313" s="19">
        <v>87414.38</v>
      </c>
      <c r="S1313" s="5" t="s">
        <v>66</v>
      </c>
      <c r="T1313" s="5" t="s">
        <v>41</v>
      </c>
      <c r="U1313" s="12" t="s">
        <v>35</v>
      </c>
      <c r="V1313" s="12"/>
      <c r="W1313" s="5" t="s">
        <v>113</v>
      </c>
      <c r="X1313" s="74" t="s">
        <v>1088</v>
      </c>
      <c r="Y1313" s="74" t="s">
        <v>457</v>
      </c>
      <c r="Z1313" s="74" t="s">
        <v>40</v>
      </c>
      <c r="AA1313" s="74" t="s">
        <v>41</v>
      </c>
      <c r="AB1313" s="316" t="s">
        <v>1263</v>
      </c>
      <c r="AC1313" s="95" t="s">
        <v>4276</v>
      </c>
      <c r="AD1313" s="74" t="s">
        <v>114</v>
      </c>
      <c r="AE1313" s="306">
        <v>17482</v>
      </c>
    </row>
    <row r="1314" spans="1:32" ht="41.4">
      <c r="A1314" s="695" t="s">
        <v>43</v>
      </c>
      <c r="B1314" s="620" t="s">
        <v>28</v>
      </c>
      <c r="C1314" s="641"/>
      <c r="D1314" s="628" t="s">
        <v>29</v>
      </c>
      <c r="E1314" s="638" t="s">
        <v>30</v>
      </c>
      <c r="F1314" s="628" t="s">
        <v>31</v>
      </c>
      <c r="G1314" s="666" t="s">
        <v>69</v>
      </c>
      <c r="H1314" s="628" t="s">
        <v>70</v>
      </c>
      <c r="I1314" s="628" t="s">
        <v>34</v>
      </c>
      <c r="J1314" s="1048" t="s">
        <v>1135</v>
      </c>
      <c r="K1314" s="628"/>
      <c r="L1314" s="628">
        <v>4</v>
      </c>
      <c r="M1314" s="651">
        <f>IFERROR(EDATE($N1314,-3),"Invalid procurement method or date entered")</f>
        <v>44327</v>
      </c>
      <c r="N1314" s="651">
        <f>IFERROR(EDATE(O1314,-L1314),"Invalid procurement method or date entered")</f>
        <v>44419</v>
      </c>
      <c r="O1314" s="708">
        <v>44541</v>
      </c>
      <c r="P1314" s="641">
        <v>12</v>
      </c>
      <c r="Q1314" s="685" t="s">
        <v>108</v>
      </c>
      <c r="R1314" s="653">
        <v>4096</v>
      </c>
      <c r="S1314" s="628" t="s">
        <v>35</v>
      </c>
      <c r="T1314" s="659" t="s">
        <v>54</v>
      </c>
      <c r="U1314" s="626" t="s">
        <v>37</v>
      </c>
      <c r="V1314" s="626"/>
      <c r="W1314" s="628" t="s">
        <v>113</v>
      </c>
      <c r="X1314" s="669" t="s">
        <v>73</v>
      </c>
      <c r="Y1314" s="669" t="s">
        <v>59</v>
      </c>
      <c r="Z1314" s="669" t="s">
        <v>95</v>
      </c>
      <c r="AA1314" s="669" t="s">
        <v>41</v>
      </c>
      <c r="AB1314" s="993" t="s">
        <v>43</v>
      </c>
      <c r="AC1314" s="707" t="s">
        <v>1320</v>
      </c>
      <c r="AD1314" s="669" t="s">
        <v>114</v>
      </c>
      <c r="AE1314" s="665"/>
      <c r="AF1314" s="693"/>
    </row>
    <row r="1315" spans="1:32" ht="316.8">
      <c r="A1315" s="889"/>
      <c r="B1315" s="1351" t="s">
        <v>28</v>
      </c>
      <c r="C1315" s="1351" t="s">
        <v>246</v>
      </c>
      <c r="D1315" s="9" t="s">
        <v>82</v>
      </c>
      <c r="E1315" s="9"/>
      <c r="F1315" s="9"/>
      <c r="G1315" s="9"/>
      <c r="H1315" s="5" t="s">
        <v>81</v>
      </c>
      <c r="I1315" s="5" t="s">
        <v>34</v>
      </c>
      <c r="J1315" s="16" t="s">
        <v>4277</v>
      </c>
      <c r="K1315" s="8"/>
      <c r="L1315" s="5" t="e">
        <f>IF(OR(S1315=#REF!,S1315=#REF!,S1315=#REF!,S1315=#REF!,S1315=#REF!,S1315=#REF!,S1315=#REF!,S1315=#REF!),12,IF(OR(S1315=#REF!,S1315=#REF!,S1315=#REF!,S1315=#REF!,S1315=#REF!,S1315=#REF!,S1315=#REF!),3,IF(S1315=#REF!,1,IF(S1315=#REF!,18,IF(OR(S1315=#REF!,S1315=#REF!,S1315=#REF!,S1315=#REF!,S1315=#REF!),14,"Invalid proposed procurement method")))))</f>
        <v>#REF!</v>
      </c>
      <c r="M1315" s="193" t="str">
        <f>IFERROR(EDATE($N1315,-3),"Invalid procurement method or date entered")</f>
        <v>Invalid procurement method or date entered</v>
      </c>
      <c r="N1315" s="193" t="str">
        <f>IFERROR(EDATE(O1315,-L1315),"Invalid procurement method or date entered")</f>
        <v>Invalid procurement method or date entered</v>
      </c>
      <c r="O1315" s="176">
        <v>44543</v>
      </c>
      <c r="P1315" s="12">
        <v>84</v>
      </c>
      <c r="Q1315" s="12" t="s">
        <v>248</v>
      </c>
      <c r="R1315" s="18">
        <v>65000</v>
      </c>
      <c r="S1315" s="5" t="s">
        <v>163</v>
      </c>
      <c r="T1315" s="5" t="s">
        <v>54</v>
      </c>
      <c r="U1315" s="12" t="s">
        <v>37</v>
      </c>
      <c r="V1315" s="12"/>
      <c r="W1315" s="5" t="s">
        <v>249</v>
      </c>
      <c r="X1315" s="74" t="s">
        <v>1101</v>
      </c>
      <c r="Y1315" s="74" t="s">
        <v>1272</v>
      </c>
      <c r="Z1315" s="74" t="s">
        <v>95</v>
      </c>
      <c r="AA1315" s="74" t="s">
        <v>41</v>
      </c>
      <c r="AB1315" s="316" t="s">
        <v>1263</v>
      </c>
      <c r="AC1315" s="95" t="s">
        <v>4278</v>
      </c>
      <c r="AD1315" s="70" t="s">
        <v>81</v>
      </c>
      <c r="AE1315" s="863">
        <v>65000</v>
      </c>
    </row>
    <row r="1316" spans="1:32" ht="331.2">
      <c r="A1316" s="1363"/>
      <c r="B1316" s="1351" t="s">
        <v>28</v>
      </c>
      <c r="C1316" s="10">
        <v>50346</v>
      </c>
      <c r="D1316" s="5" t="s">
        <v>29</v>
      </c>
      <c r="E1316" s="5"/>
      <c r="F1316" s="5"/>
      <c r="G1316" s="5"/>
      <c r="H1316" s="5" t="s">
        <v>70</v>
      </c>
      <c r="I1316" s="5" t="s">
        <v>34</v>
      </c>
      <c r="J1316" s="16" t="s">
        <v>4279</v>
      </c>
      <c r="K1316" s="16"/>
      <c r="L1316" s="5"/>
      <c r="M1316" s="193">
        <v>44405</v>
      </c>
      <c r="N1316" s="193"/>
      <c r="O1316" s="14">
        <v>44544</v>
      </c>
      <c r="P1316" s="12">
        <v>60</v>
      </c>
      <c r="Q1316" s="5" t="s">
        <v>811</v>
      </c>
      <c r="R1316" s="18" t="s">
        <v>4280</v>
      </c>
      <c r="S1316" s="5" t="s">
        <v>109</v>
      </c>
      <c r="T1316" s="14" t="s">
        <v>54</v>
      </c>
      <c r="U1316" s="14" t="s">
        <v>43</v>
      </c>
      <c r="V1316" s="14"/>
      <c r="W1316" s="5" t="s">
        <v>301</v>
      </c>
      <c r="X1316" s="74" t="s">
        <v>1101</v>
      </c>
      <c r="Y1316" s="74" t="s">
        <v>457</v>
      </c>
      <c r="Z1316" s="74"/>
      <c r="AA1316" s="74" t="s">
        <v>54</v>
      </c>
      <c r="AB1316" s="316" t="s">
        <v>1245</v>
      </c>
      <c r="AC1316" s="95" t="s">
        <v>4281</v>
      </c>
      <c r="AD1316" s="74" t="s">
        <v>141</v>
      </c>
      <c r="AE1316" s="863" t="s">
        <v>35</v>
      </c>
    </row>
    <row r="1317" spans="1:32" ht="43.2">
      <c r="A1317" s="1363"/>
      <c r="B1317" s="305"/>
      <c r="C1317" s="4" t="s">
        <v>35</v>
      </c>
      <c r="D1317" s="5" t="s">
        <v>29</v>
      </c>
      <c r="E1317" s="5"/>
      <c r="F1317" s="5"/>
      <c r="G1317" s="5"/>
      <c r="H1317" s="5" t="s">
        <v>70</v>
      </c>
      <c r="I1317" s="5" t="s">
        <v>34</v>
      </c>
      <c r="J1317" s="16" t="s">
        <v>1216</v>
      </c>
      <c r="K1317" s="8"/>
      <c r="L1317" s="5">
        <v>6</v>
      </c>
      <c r="M1317" s="193">
        <f>IFERROR(EDATE($N1317,-3),"Invalid procurement method or date entered")</f>
        <v>44275</v>
      </c>
      <c r="N1317" s="193">
        <f>IFERROR(EDATE(O1317,-L1317),"Invalid procurement method or date entered")</f>
        <v>44367</v>
      </c>
      <c r="O1317" s="176">
        <v>44550</v>
      </c>
      <c r="P1317" s="12">
        <v>12</v>
      </c>
      <c r="Q1317" s="7" t="s">
        <v>108</v>
      </c>
      <c r="R1317" s="18">
        <v>2355.1999999999998</v>
      </c>
      <c r="S1317" s="5" t="s">
        <v>909</v>
      </c>
      <c r="T1317" s="11" t="s">
        <v>54</v>
      </c>
      <c r="U1317" s="66" t="s">
        <v>37</v>
      </c>
      <c r="V1317" s="66"/>
      <c r="W1317" s="5" t="s">
        <v>113</v>
      </c>
      <c r="X1317" s="74" t="s">
        <v>73</v>
      </c>
      <c r="Y1317" s="74" t="s">
        <v>59</v>
      </c>
      <c r="Z1317" s="74" t="s">
        <v>95</v>
      </c>
      <c r="AA1317" s="74" t="s">
        <v>41</v>
      </c>
      <c r="AB1317" s="316" t="s">
        <v>1269</v>
      </c>
      <c r="AC1317" s="95" t="s">
        <v>1223</v>
      </c>
      <c r="AD1317" s="74" t="s">
        <v>114</v>
      </c>
      <c r="AE1317" s="306"/>
    </row>
    <row r="1318" spans="1:32" ht="15.6">
      <c r="A1318" s="1061">
        <v>44974</v>
      </c>
      <c r="B1318" s="1066" t="s">
        <v>210</v>
      </c>
      <c r="C1318" s="1072">
        <v>22766</v>
      </c>
      <c r="D1318" s="1072" t="s">
        <v>209</v>
      </c>
      <c r="E1318" s="1066" t="s">
        <v>210</v>
      </c>
      <c r="F1318" s="1066" t="s">
        <v>190</v>
      </c>
      <c r="G1318" s="1066" t="s">
        <v>190</v>
      </c>
      <c r="H1318" s="1066" t="s">
        <v>190</v>
      </c>
      <c r="I1318" s="1066" t="s">
        <v>190</v>
      </c>
      <c r="J1318" s="1095" t="s">
        <v>211</v>
      </c>
      <c r="K1318" s="1072" t="s">
        <v>212</v>
      </c>
      <c r="L1318" s="1066" t="s">
        <v>190</v>
      </c>
      <c r="M1318" s="1066" t="s">
        <v>190</v>
      </c>
      <c r="N1318" s="1066" t="s">
        <v>190</v>
      </c>
      <c r="O1318" s="1142">
        <v>44552</v>
      </c>
      <c r="P1318" s="1142">
        <v>45281</v>
      </c>
      <c r="Q1318" s="1072" t="s">
        <v>1156</v>
      </c>
      <c r="R1318" s="1176">
        <v>58053</v>
      </c>
      <c r="S1318" s="1072" t="s">
        <v>3764</v>
      </c>
      <c r="T1318" s="1066" t="s">
        <v>190</v>
      </c>
      <c r="U1318" s="1066" t="s">
        <v>190</v>
      </c>
      <c r="V1318" s="1066"/>
      <c r="W1318" s="1072" t="s">
        <v>213</v>
      </c>
      <c r="X1318" s="1116" t="s">
        <v>1346</v>
      </c>
      <c r="Y1318" s="1116" t="s">
        <v>1266</v>
      </c>
      <c r="Z1318" s="1068" t="s">
        <v>190</v>
      </c>
      <c r="AA1318" s="1068" t="s">
        <v>190</v>
      </c>
      <c r="AB1318" s="1068" t="s">
        <v>190</v>
      </c>
      <c r="AC1318" s="694" t="s">
        <v>4282</v>
      </c>
      <c r="AD1318" s="1068" t="s">
        <v>190</v>
      </c>
      <c r="AE1318" s="1193">
        <v>58053</v>
      </c>
    </row>
    <row r="1319" spans="1:32" ht="144">
      <c r="A1319" s="1363"/>
      <c r="B1319" s="1347"/>
      <c r="C1319" s="4" t="s">
        <v>35</v>
      </c>
      <c r="D1319" s="9" t="s">
        <v>29</v>
      </c>
      <c r="E1319" s="9"/>
      <c r="F1319" s="9"/>
      <c r="G1319" s="9"/>
      <c r="H1319" s="5" t="s">
        <v>70</v>
      </c>
      <c r="I1319" s="5" t="s">
        <v>34</v>
      </c>
      <c r="J1319" s="16" t="s">
        <v>3053</v>
      </c>
      <c r="K1319" s="16"/>
      <c r="L1319" s="5" t="e">
        <f>IF(OR(S1319=#REF!,S1319=#REF!,S1319=#REF!,S1319=#REF!,S1319=#REF!,S1319=#REF!,S1319=#REF!,S1319=#REF!),12,IF(OR(S1319=#REF!,S1319=#REF!,S1319=#REF!,S1319=#REF!,S1319=#REF!,S1319=#REF!,S1319=#REF!),3,IF(S1319=#REF!,1,IF(S1319=#REF!,18,IF(OR(S1319=#REF!,S1319=#REF!,S1319=#REF!,S1319=#REF!,S1319=#REF!),14,"Invalid proposed procurement method")))))</f>
        <v>#REF!</v>
      </c>
      <c r="M1319" s="193">
        <v>44197</v>
      </c>
      <c r="N1319" s="193" t="str">
        <f>IFERROR(EDATE(O1319,-L1319),"Invalid procurement method or date entered")</f>
        <v>Invalid procurement method or date entered</v>
      </c>
      <c r="O1319" s="176">
        <v>44561</v>
      </c>
      <c r="P1319" s="12">
        <v>12</v>
      </c>
      <c r="Q1319" s="7" t="s">
        <v>108</v>
      </c>
      <c r="R1319" s="18">
        <v>12400</v>
      </c>
      <c r="S1319" s="5" t="s">
        <v>909</v>
      </c>
      <c r="T1319" s="9" t="s">
        <v>54</v>
      </c>
      <c r="U1319" s="15" t="s">
        <v>37</v>
      </c>
      <c r="V1319" s="15"/>
      <c r="W1319" s="5" t="s">
        <v>113</v>
      </c>
      <c r="X1319" s="74" t="s">
        <v>73</v>
      </c>
      <c r="Y1319" s="74" t="s">
        <v>1272</v>
      </c>
      <c r="Z1319" s="74" t="s">
        <v>95</v>
      </c>
      <c r="AA1319" s="74" t="s">
        <v>41</v>
      </c>
      <c r="AB1319" s="316" t="s">
        <v>1263</v>
      </c>
      <c r="AC1319" s="846" t="s">
        <v>4283</v>
      </c>
      <c r="AD1319" s="74" t="s">
        <v>114</v>
      </c>
      <c r="AE1319" s="306">
        <v>12400</v>
      </c>
    </row>
    <row r="1320" spans="1:32" ht="72">
      <c r="A1320" s="1364"/>
      <c r="B1320" s="4"/>
      <c r="C1320" s="4" t="s">
        <v>4284</v>
      </c>
      <c r="D1320" s="9" t="s">
        <v>29</v>
      </c>
      <c r="E1320" s="9"/>
      <c r="F1320" s="9"/>
      <c r="G1320" s="9"/>
      <c r="H1320" s="5" t="s">
        <v>45</v>
      </c>
      <c r="I1320" s="261" t="s">
        <v>34</v>
      </c>
      <c r="J1320" s="16" t="s">
        <v>4285</v>
      </c>
      <c r="K1320" s="16"/>
      <c r="L1320" s="5" t="e">
        <f>IF(OR(S1320=#REF!,S1320=#REF!,S1320=#REF!,S1320=#REF!,S1320=#REF!,S1320=#REF!,S1320=#REF!,S1320=#REF!),12,IF(OR(S1320=#REF!,S1320=#REF!,S1320=#REF!,S1320=#REF!,S1320=#REF!,S1320=#REF!,S1320=#REF!),3,IF(S1320=#REF!,1,IF(S1320=#REF!,18,IF(OR(S1320=#REF!,S1320=#REF!,S1320=#REF!,S1320=#REF!,S1320=#REF!),14,"Invalid proposed procurement method")))))</f>
        <v>#REF!</v>
      </c>
      <c r="M1320" s="193" t="str">
        <f>IFERROR(EDATE($N1320,-3),"Invalid procurement method or date entered")</f>
        <v>Invalid procurement method or date entered</v>
      </c>
      <c r="N1320" s="193" t="str">
        <f>IFERROR(EDATE(O1320,-L1320),"Invalid procurement method or date entered")</f>
        <v>Invalid procurement method or date entered</v>
      </c>
      <c r="O1320" s="176">
        <v>44562</v>
      </c>
      <c r="P1320" s="12">
        <v>9</v>
      </c>
      <c r="Q1320" s="7" t="s">
        <v>3237</v>
      </c>
      <c r="R1320" s="18">
        <v>7000</v>
      </c>
      <c r="S1320" s="5" t="s">
        <v>109</v>
      </c>
      <c r="T1320" s="11" t="s">
        <v>54</v>
      </c>
      <c r="U1320" s="15" t="s">
        <v>37</v>
      </c>
      <c r="V1320" s="15"/>
      <c r="W1320" s="5" t="s">
        <v>4286</v>
      </c>
      <c r="X1320" s="74" t="s">
        <v>1053</v>
      </c>
      <c r="Y1320" s="74" t="s">
        <v>457</v>
      </c>
      <c r="Z1320" s="74" t="s">
        <v>95</v>
      </c>
      <c r="AA1320" s="74" t="s">
        <v>41</v>
      </c>
      <c r="AB1320" s="316" t="s">
        <v>1253</v>
      </c>
      <c r="AC1320" s="95" t="s">
        <v>1268</v>
      </c>
      <c r="AD1320" s="74" t="s">
        <v>85</v>
      </c>
      <c r="AE1320" s="191">
        <v>28785</v>
      </c>
    </row>
    <row r="1321" spans="1:32" ht="57.6">
      <c r="A1321" s="888"/>
      <c r="B1321" s="1351" t="s">
        <v>28</v>
      </c>
      <c r="C1321" s="4" t="s">
        <v>581</v>
      </c>
      <c r="D1321" s="5" t="s">
        <v>29</v>
      </c>
      <c r="E1321" s="5"/>
      <c r="F1321" s="5"/>
      <c r="G1321" s="5"/>
      <c r="H1321" s="5" t="s">
        <v>1143</v>
      </c>
      <c r="I1321" s="5" t="s">
        <v>34</v>
      </c>
      <c r="J1321" s="16" t="s">
        <v>582</v>
      </c>
      <c r="K1321" s="8"/>
      <c r="L1321" s="5">
        <v>12</v>
      </c>
      <c r="M1321" s="193">
        <f>IFERROR(EDATE($N1321,-3),"Invalid procurement method or date entered")</f>
        <v>44105</v>
      </c>
      <c r="N1321" s="193">
        <f>IFERROR(EDATE(O1321,-L1321),"Invalid procurement method or date entered")</f>
        <v>44197</v>
      </c>
      <c r="O1321" s="176">
        <v>44562</v>
      </c>
      <c r="P1321" s="12">
        <v>48</v>
      </c>
      <c r="Q1321" s="7" t="s">
        <v>298</v>
      </c>
      <c r="R1321" s="18">
        <v>582000</v>
      </c>
      <c r="S1321" s="5" t="s">
        <v>46</v>
      </c>
      <c r="T1321" s="5" t="s">
        <v>36</v>
      </c>
      <c r="U1321" s="176">
        <v>44498</v>
      </c>
      <c r="V1321" s="176"/>
      <c r="W1321" s="5" t="s">
        <v>122</v>
      </c>
      <c r="X1321" s="74" t="s">
        <v>94</v>
      </c>
      <c r="Y1321" s="74" t="s">
        <v>457</v>
      </c>
      <c r="Z1321" s="74" t="s">
        <v>95</v>
      </c>
      <c r="AA1321" s="74" t="s">
        <v>41</v>
      </c>
      <c r="AB1321" s="316" t="s">
        <v>1245</v>
      </c>
      <c r="AC1321" s="95" t="s">
        <v>4123</v>
      </c>
      <c r="AD1321" s="74" t="s">
        <v>42</v>
      </c>
      <c r="AE1321" s="204">
        <v>100000</v>
      </c>
    </row>
    <row r="1322" spans="1:32" ht="28.8">
      <c r="A1322" s="888"/>
      <c r="B1322" s="1351" t="s">
        <v>28</v>
      </c>
      <c r="C1322" s="4" t="s">
        <v>35</v>
      </c>
      <c r="D1322" s="9" t="s">
        <v>29</v>
      </c>
      <c r="E1322" s="9"/>
      <c r="F1322" s="9"/>
      <c r="G1322" s="9"/>
      <c r="H1322" s="9" t="s">
        <v>375</v>
      </c>
      <c r="I1322" s="9" t="s">
        <v>34</v>
      </c>
      <c r="J1322" s="16" t="s">
        <v>1233</v>
      </c>
      <c r="K1322" s="16"/>
      <c r="L1322" s="5">
        <v>1</v>
      </c>
      <c r="M1322" s="193">
        <v>44637</v>
      </c>
      <c r="N1322" s="193">
        <f>IFERROR(EDATE(O1322,-L1322),"Invalid procurement method or date entered")</f>
        <v>44531</v>
      </c>
      <c r="O1322" s="176">
        <v>44562</v>
      </c>
      <c r="P1322" s="12">
        <v>24</v>
      </c>
      <c r="Q1322" s="7" t="s">
        <v>365</v>
      </c>
      <c r="R1322" s="1011">
        <v>33300</v>
      </c>
      <c r="S1322" s="5" t="s">
        <v>109</v>
      </c>
      <c r="T1322" s="5" t="s">
        <v>110</v>
      </c>
      <c r="U1322" s="12" t="s">
        <v>37</v>
      </c>
      <c r="V1322" s="12"/>
      <c r="W1322" s="5" t="s">
        <v>687</v>
      </c>
      <c r="X1322" s="74" t="s">
        <v>219</v>
      </c>
      <c r="Y1322" s="74" t="s">
        <v>457</v>
      </c>
      <c r="Z1322" s="74" t="s">
        <v>95</v>
      </c>
      <c r="AA1322" s="74" t="s">
        <v>54</v>
      </c>
      <c r="AB1322" s="316" t="s">
        <v>1245</v>
      </c>
      <c r="AC1322" s="95" t="s">
        <v>1365</v>
      </c>
      <c r="AD1322" s="70" t="s">
        <v>688</v>
      </c>
      <c r="AE1322" s="204">
        <v>16650</v>
      </c>
    </row>
    <row r="1323" spans="1:32" ht="28.8">
      <c r="A1323" s="888"/>
      <c r="B1323" s="194" t="s">
        <v>145</v>
      </c>
      <c r="C1323" s="194" t="s">
        <v>4287</v>
      </c>
      <c r="D1323" s="8" t="s">
        <v>82</v>
      </c>
      <c r="E1323" s="8"/>
      <c r="F1323" s="8"/>
      <c r="G1323" s="8"/>
      <c r="H1323" s="16" t="s">
        <v>148</v>
      </c>
      <c r="I1323" s="16" t="s">
        <v>64</v>
      </c>
      <c r="J1323" s="60" t="s">
        <v>716</v>
      </c>
      <c r="K1323" s="6"/>
      <c r="L1323" s="5">
        <v>12</v>
      </c>
      <c r="M1323" s="193">
        <f>IFERROR(EDATE(N1323,-3),"Invalid procurement method or date entered")</f>
        <v>44105</v>
      </c>
      <c r="N1323" s="143">
        <f>IFERROR(EDATE(O1323,-L1323),"Invalid procurement method or date entered")</f>
        <v>44197</v>
      </c>
      <c r="O1323" s="328">
        <v>44562</v>
      </c>
      <c r="P1323" s="330">
        <v>60</v>
      </c>
      <c r="Q1323" s="330" t="s">
        <v>2979</v>
      </c>
      <c r="R1323" s="153">
        <v>2250000</v>
      </c>
      <c r="S1323" s="5" t="s">
        <v>66</v>
      </c>
      <c r="T1323" s="355" t="s">
        <v>41</v>
      </c>
      <c r="U1323" s="353">
        <v>44537</v>
      </c>
      <c r="V1323" s="353"/>
      <c r="W1323" s="8" t="s">
        <v>530</v>
      </c>
      <c r="X1323" s="105" t="s">
        <v>428</v>
      </c>
      <c r="Y1323" s="105" t="s">
        <v>179</v>
      </c>
      <c r="Z1323" s="105"/>
      <c r="AA1323" s="829" t="s">
        <v>80</v>
      </c>
      <c r="AB1323" s="839" t="s">
        <v>41</v>
      </c>
      <c r="AC1323" s="390">
        <v>44690</v>
      </c>
      <c r="AD1323" s="390"/>
      <c r="AE1323" s="390"/>
    </row>
    <row r="1324" spans="1:32" ht="15.6">
      <c r="A1324" s="1061">
        <v>44974</v>
      </c>
      <c r="B1324" s="1066" t="s">
        <v>210</v>
      </c>
      <c r="C1324" s="1072">
        <v>28008</v>
      </c>
      <c r="D1324" s="1072" t="s">
        <v>1073</v>
      </c>
      <c r="E1324" s="1066" t="s">
        <v>210</v>
      </c>
      <c r="F1324" s="1066" t="s">
        <v>190</v>
      </c>
      <c r="G1324" s="1066" t="s">
        <v>190</v>
      </c>
      <c r="H1324" s="1066" t="s">
        <v>190</v>
      </c>
      <c r="I1324" s="1066" t="s">
        <v>190</v>
      </c>
      <c r="J1324" s="1095" t="s">
        <v>1193</v>
      </c>
      <c r="K1324" s="1072" t="s">
        <v>1194</v>
      </c>
      <c r="L1324" s="1066" t="s">
        <v>190</v>
      </c>
      <c r="M1324" s="1066" t="s">
        <v>190</v>
      </c>
      <c r="N1324" s="1066" t="s">
        <v>190</v>
      </c>
      <c r="O1324" s="1142">
        <v>44562</v>
      </c>
      <c r="P1324" s="1142">
        <v>44926</v>
      </c>
      <c r="Q1324" s="1072" t="s">
        <v>100</v>
      </c>
      <c r="R1324" s="1176">
        <v>18990</v>
      </c>
      <c r="S1324" s="1072" t="s">
        <v>2878</v>
      </c>
      <c r="T1324" s="1066" t="s">
        <v>190</v>
      </c>
      <c r="U1324" s="1066" t="s">
        <v>190</v>
      </c>
      <c r="V1324" s="1066"/>
      <c r="W1324" s="1072" t="s">
        <v>1074</v>
      </c>
      <c r="X1324" s="1116" t="s">
        <v>1346</v>
      </c>
      <c r="Y1324" s="1116" t="s">
        <v>1266</v>
      </c>
      <c r="Z1324" s="1068" t="s">
        <v>190</v>
      </c>
      <c r="AA1324" s="1068" t="s">
        <v>190</v>
      </c>
      <c r="AB1324" s="1068" t="s">
        <v>190</v>
      </c>
      <c r="AC1324" s="694" t="s">
        <v>4288</v>
      </c>
      <c r="AD1324" s="1068" t="s">
        <v>190</v>
      </c>
      <c r="AE1324" s="1193">
        <v>18990</v>
      </c>
    </row>
    <row r="1325" spans="1:32" ht="15.6">
      <c r="A1325" s="1061">
        <v>44974</v>
      </c>
      <c r="B1325" s="1066" t="s">
        <v>210</v>
      </c>
      <c r="C1325" s="1072">
        <v>29008</v>
      </c>
      <c r="D1325" s="1072" t="s">
        <v>2856</v>
      </c>
      <c r="E1325" s="1066" t="s">
        <v>210</v>
      </c>
      <c r="F1325" s="1066" t="s">
        <v>190</v>
      </c>
      <c r="G1325" s="1066" t="s">
        <v>190</v>
      </c>
      <c r="H1325" s="1066" t="s">
        <v>190</v>
      </c>
      <c r="I1325" s="1066" t="s">
        <v>190</v>
      </c>
      <c r="J1325" s="1095" t="s">
        <v>4289</v>
      </c>
      <c r="K1325" s="1072" t="s">
        <v>1161</v>
      </c>
      <c r="L1325" s="1066" t="s">
        <v>190</v>
      </c>
      <c r="M1325" s="1066" t="s">
        <v>190</v>
      </c>
      <c r="N1325" s="1066" t="s">
        <v>190</v>
      </c>
      <c r="O1325" s="1142">
        <v>44562</v>
      </c>
      <c r="P1325" s="1142">
        <v>45291</v>
      </c>
      <c r="Q1325" s="1072" t="s">
        <v>100</v>
      </c>
      <c r="R1325" s="1176">
        <v>30000</v>
      </c>
      <c r="S1325" s="1072" t="s">
        <v>4290</v>
      </c>
      <c r="T1325" s="1066" t="s">
        <v>190</v>
      </c>
      <c r="U1325" s="1066" t="s">
        <v>190</v>
      </c>
      <c r="V1325" s="1066"/>
      <c r="W1325" s="1072" t="s">
        <v>4291</v>
      </c>
      <c r="X1325" s="1116" t="s">
        <v>1346</v>
      </c>
      <c r="Y1325" s="1116" t="s">
        <v>1266</v>
      </c>
      <c r="Z1325" s="1068" t="s">
        <v>190</v>
      </c>
      <c r="AA1325" s="1068" t="s">
        <v>190</v>
      </c>
      <c r="AB1325" s="1068" t="s">
        <v>190</v>
      </c>
      <c r="AC1325" s="694" t="s">
        <v>4292</v>
      </c>
      <c r="AD1325" s="1068" t="s">
        <v>190</v>
      </c>
      <c r="AE1325" s="1193">
        <v>30000</v>
      </c>
    </row>
    <row r="1326" spans="1:32" ht="43.2">
      <c r="A1326" s="888"/>
      <c r="B1326" s="1351" t="s">
        <v>28</v>
      </c>
      <c r="C1326" s="4" t="s">
        <v>865</v>
      </c>
      <c r="D1326" s="9" t="s">
        <v>29</v>
      </c>
      <c r="E1326" s="9"/>
      <c r="F1326" s="9"/>
      <c r="G1326" s="9"/>
      <c r="H1326" s="5" t="s">
        <v>867</v>
      </c>
      <c r="I1326" s="5" t="s">
        <v>34</v>
      </c>
      <c r="J1326" s="16" t="s">
        <v>868</v>
      </c>
      <c r="K1326" s="16"/>
      <c r="L1326" s="5">
        <v>12</v>
      </c>
      <c r="M1326" s="193">
        <f>IFERROR(EDATE($N1326,-3),"Invalid procurement method or date entered")</f>
        <v>44106</v>
      </c>
      <c r="N1326" s="193">
        <f>IFERROR(EDATE(O1326,-L1326),"Invalid procurement method or date entered")</f>
        <v>44198</v>
      </c>
      <c r="O1326" s="176">
        <v>44563</v>
      </c>
      <c r="P1326" s="12">
        <v>36</v>
      </c>
      <c r="Q1326" s="7" t="s">
        <v>236</v>
      </c>
      <c r="R1326" s="18">
        <v>150000</v>
      </c>
      <c r="S1326" s="5" t="s">
        <v>163</v>
      </c>
      <c r="T1326" s="11" t="s">
        <v>36</v>
      </c>
      <c r="U1326" s="15" t="s">
        <v>37</v>
      </c>
      <c r="V1326" s="15"/>
      <c r="W1326" s="5" t="s">
        <v>870</v>
      </c>
      <c r="X1326" s="819" t="s">
        <v>90</v>
      </c>
      <c r="Y1326" s="74" t="s">
        <v>457</v>
      </c>
      <c r="Z1326" s="74" t="s">
        <v>95</v>
      </c>
      <c r="AA1326" s="74" t="s">
        <v>41</v>
      </c>
      <c r="AB1326" s="316" t="s">
        <v>1263</v>
      </c>
      <c r="AC1326" s="95" t="s">
        <v>1010</v>
      </c>
      <c r="AD1326" s="74" t="s">
        <v>42</v>
      </c>
      <c r="AE1326" s="863">
        <v>3580</v>
      </c>
    </row>
    <row r="1327" spans="1:32" ht="57.6">
      <c r="A1327" s="1363"/>
      <c r="B1327" s="1351" t="s">
        <v>28</v>
      </c>
      <c r="C1327" s="4" t="s">
        <v>4293</v>
      </c>
      <c r="D1327" s="5" t="s">
        <v>29</v>
      </c>
      <c r="E1327" s="5"/>
      <c r="F1327" s="5"/>
      <c r="G1327" s="5"/>
      <c r="H1327" s="5" t="s">
        <v>70</v>
      </c>
      <c r="I1327" s="5" t="s">
        <v>64</v>
      </c>
      <c r="J1327" s="16" t="s">
        <v>1186</v>
      </c>
      <c r="K1327" s="16"/>
      <c r="L1327" s="5" t="e">
        <f>IF(OR(S1327=#REF!,S1327=#REF!,S1327=#REF!,S1327=#REF!,S1327=#REF!,S1327=#REF!,S1327=#REF!,S1327=#REF!),12,IF(OR(S1327=#REF!,S1327=#REF!,S1327=#REF!,S1327=#REF!,S1327=#REF!,S1327=#REF!,S1327=#REF!),3,IF(S1327=#REF!,1,IF(S1327=#REF!,18,IF(OR(S1327=#REF!,S1327=#REF!,S1327=#REF!,S1327=#REF!,S1327=#REF!),14,"Invalid proposed procurement method")))))</f>
        <v>#REF!</v>
      </c>
      <c r="M1327" s="193">
        <f>IFERROR(EDATE($N1327,-3),"Invalid procurement method or date entered")</f>
        <v>44474</v>
      </c>
      <c r="N1327" s="193">
        <v>44566</v>
      </c>
      <c r="O1327" s="176">
        <v>44566</v>
      </c>
      <c r="P1327" s="12">
        <v>48</v>
      </c>
      <c r="Q1327" s="13" t="s">
        <v>1061</v>
      </c>
      <c r="R1327" s="106">
        <v>63340</v>
      </c>
      <c r="S1327" s="5" t="s">
        <v>66</v>
      </c>
      <c r="T1327" s="12" t="s">
        <v>54</v>
      </c>
      <c r="U1327" s="12" t="s">
        <v>37</v>
      </c>
      <c r="V1327" s="12"/>
      <c r="W1327" s="5" t="s">
        <v>4294</v>
      </c>
      <c r="X1327" s="74" t="s">
        <v>1088</v>
      </c>
      <c r="Y1327" s="74" t="s">
        <v>457</v>
      </c>
      <c r="Z1327" s="74" t="s">
        <v>91</v>
      </c>
      <c r="AA1327" s="74" t="s">
        <v>41</v>
      </c>
      <c r="AB1327" s="316" t="s">
        <v>1263</v>
      </c>
      <c r="AC1327" s="95" t="s">
        <v>4295</v>
      </c>
      <c r="AD1327" s="74" t="s">
        <v>74</v>
      </c>
      <c r="AE1327" s="863"/>
    </row>
    <row r="1328" spans="1:32" ht="72">
      <c r="A1328" s="888"/>
      <c r="B1328" s="114"/>
      <c r="C1328" s="4" t="s">
        <v>4293</v>
      </c>
      <c r="D1328" s="5" t="s">
        <v>29</v>
      </c>
      <c r="E1328" s="5"/>
      <c r="F1328" s="5"/>
      <c r="G1328" s="5"/>
      <c r="H1328" s="5" t="s">
        <v>70</v>
      </c>
      <c r="I1328" s="5" t="s">
        <v>64</v>
      </c>
      <c r="J1328" s="16" t="s">
        <v>4296</v>
      </c>
      <c r="K1328" s="16"/>
      <c r="L1328" s="16"/>
      <c r="M1328" s="193">
        <v>44354</v>
      </c>
      <c r="N1328" s="193"/>
      <c r="O1328" s="193">
        <v>44567</v>
      </c>
      <c r="P1328" s="193"/>
      <c r="Q1328" s="13" t="s">
        <v>1275</v>
      </c>
      <c r="R1328" s="106">
        <v>63340</v>
      </c>
      <c r="S1328" s="1351" t="s">
        <v>4297</v>
      </c>
      <c r="T1328" s="9" t="s">
        <v>54</v>
      </c>
      <c r="U1328" s="15" t="s">
        <v>37</v>
      </c>
      <c r="V1328" s="15"/>
      <c r="W1328" s="12" t="s">
        <v>4298</v>
      </c>
      <c r="X1328" s="70" t="s">
        <v>1088</v>
      </c>
      <c r="AA1328" s="70" t="s">
        <v>1374</v>
      </c>
      <c r="AB1328" s="316" t="s">
        <v>1082</v>
      </c>
      <c r="AC1328" s="95" t="s">
        <v>4299</v>
      </c>
      <c r="AD1328" s="70" t="s">
        <v>4300</v>
      </c>
      <c r="AE1328" s="869">
        <v>11235</v>
      </c>
    </row>
    <row r="1329" spans="1:32" ht="69">
      <c r="A1329" s="686" t="s">
        <v>43</v>
      </c>
      <c r="B1329" s="626" t="s">
        <v>145</v>
      </c>
      <c r="C1329" s="626" t="s">
        <v>35</v>
      </c>
      <c r="D1329" s="628" t="s">
        <v>92</v>
      </c>
      <c r="E1329" s="628"/>
      <c r="F1329" s="628"/>
      <c r="G1329" s="628"/>
      <c r="H1329" s="628" t="s">
        <v>148</v>
      </c>
      <c r="I1329" s="628" t="s">
        <v>604</v>
      </c>
      <c r="J1329" s="1103" t="s">
        <v>4301</v>
      </c>
      <c r="K1329" s="669" t="s">
        <v>534</v>
      </c>
      <c r="L1329" s="1126">
        <v>3</v>
      </c>
      <c r="M1329" s="663">
        <f>IFERROR(EDATE(N1329,-3),"Invalid procurement method or date entered")</f>
        <v>44386</v>
      </c>
      <c r="N1329" s="664">
        <f>IFERROR(EDATE(O1329,-L1329),"Invalid procurement method or date entered")</f>
        <v>44478</v>
      </c>
      <c r="O1329" s="631">
        <v>44570</v>
      </c>
      <c r="P1329" s="654">
        <v>36</v>
      </c>
      <c r="Q1329" s="654" t="s">
        <v>236</v>
      </c>
      <c r="R1329" s="653">
        <v>620000</v>
      </c>
      <c r="S1329" s="628" t="s">
        <v>53</v>
      </c>
      <c r="T1329" s="628" t="s">
        <v>35</v>
      </c>
      <c r="U1329" s="628" t="s">
        <v>35</v>
      </c>
      <c r="V1329" s="628"/>
      <c r="W1329" s="628" t="s">
        <v>792</v>
      </c>
      <c r="X1329" s="669" t="s">
        <v>68</v>
      </c>
      <c r="Y1329" s="669" t="s">
        <v>457</v>
      </c>
      <c r="Z1329" s="669" t="s">
        <v>40</v>
      </c>
      <c r="AA1329" s="830" t="s">
        <v>41</v>
      </c>
      <c r="AB1329" s="993">
        <v>44873</v>
      </c>
      <c r="AC1329" s="707" t="s">
        <v>4302</v>
      </c>
      <c r="AD1329" s="669"/>
      <c r="AE1329" s="669"/>
      <c r="AF1329" s="691"/>
    </row>
    <row r="1330" spans="1:32" ht="72">
      <c r="A1330" s="1363"/>
      <c r="B1330" s="1351" t="s">
        <v>28</v>
      </c>
      <c r="C1330" s="10">
        <v>26725</v>
      </c>
      <c r="D1330" s="9" t="s">
        <v>29</v>
      </c>
      <c r="E1330" s="9"/>
      <c r="F1330" s="9"/>
      <c r="G1330" s="9"/>
      <c r="H1330" s="5" t="s">
        <v>70</v>
      </c>
      <c r="I1330" s="5" t="s">
        <v>34</v>
      </c>
      <c r="J1330" s="16" t="s">
        <v>1012</v>
      </c>
      <c r="K1330" s="16"/>
      <c r="L1330" s="5" t="e">
        <f>IF(OR(S1330=#REF!,S1330=#REF!,S1330=#REF!,S1330=#REF!,S1330=#REF!,S1330=#REF!,S1330=#REF!,S1330=#REF!),12,IF(OR(S1330=#REF!,S1330=#REF!,S1330=#REF!,S1330=#REF!,S1330=#REF!,S1330=#REF!,S1330=#REF!),3,IF(S1330=#REF!,1,IF(S1330=#REF!,18,IF(OR(S1330=#REF!,S1330=#REF!,S1330=#REF!,S1330=#REF!,S1330=#REF!),14,"Invalid proposed procurement method")))))</f>
        <v>#REF!</v>
      </c>
      <c r="M1330" s="193" t="str">
        <f>IFERROR(EDATE($N1330,-3),"Invalid procurement method or date entered")</f>
        <v>Invalid procurement method or date entered</v>
      </c>
      <c r="N1330" s="193" t="str">
        <f>IFERROR(EDATE(O1330,-L1330),"Invalid procurement method or date entered")</f>
        <v>Invalid procurement method or date entered</v>
      </c>
      <c r="O1330" s="176">
        <v>44571</v>
      </c>
      <c r="P1330" s="12">
        <v>36</v>
      </c>
      <c r="Q1330" s="7" t="s">
        <v>488</v>
      </c>
      <c r="R1330" s="18">
        <v>70000</v>
      </c>
      <c r="S1330" s="5" t="s">
        <v>173</v>
      </c>
      <c r="T1330" s="9" t="s">
        <v>54</v>
      </c>
      <c r="U1330" s="15" t="s">
        <v>37</v>
      </c>
      <c r="V1330" s="15"/>
      <c r="W1330" s="5" t="s">
        <v>1013</v>
      </c>
      <c r="X1330" s="819" t="s">
        <v>1053</v>
      </c>
      <c r="Y1330" s="74" t="s">
        <v>457</v>
      </c>
      <c r="Z1330" s="74" t="s">
        <v>40</v>
      </c>
      <c r="AA1330" s="74" t="s">
        <v>41</v>
      </c>
      <c r="AB1330" s="316" t="s">
        <v>1245</v>
      </c>
      <c r="AC1330" s="95" t="s">
        <v>1246</v>
      </c>
      <c r="AD1330" s="74" t="s">
        <v>96</v>
      </c>
      <c r="AE1330" s="863"/>
    </row>
    <row r="1331" spans="1:32" ht="72">
      <c r="A1331" s="1363"/>
      <c r="B1331" s="1351" t="s">
        <v>28</v>
      </c>
      <c r="C1331" s="16" t="s">
        <v>417</v>
      </c>
      <c r="D1331" s="9" t="s">
        <v>60</v>
      </c>
      <c r="E1331" s="9"/>
      <c r="F1331" s="9"/>
      <c r="G1331" s="9"/>
      <c r="H1331" s="9" t="s">
        <v>63</v>
      </c>
      <c r="I1331" s="5" t="s">
        <v>34</v>
      </c>
      <c r="J1331" s="16" t="s">
        <v>418</v>
      </c>
      <c r="K1331" s="8"/>
      <c r="L1331" s="5">
        <v>12</v>
      </c>
      <c r="M1331" s="193">
        <f>IFERROR(EDATE($N1331,-3),"Invalid procurement method or date entered")</f>
        <v>44118</v>
      </c>
      <c r="N1331" s="193">
        <f>IFERROR(EDATE(O1331,-L1331),"Invalid procurement method or date entered")</f>
        <v>44210</v>
      </c>
      <c r="O1331" s="193">
        <v>44575</v>
      </c>
      <c r="P1331" s="5">
        <v>63</v>
      </c>
      <c r="Q1331" s="5" t="s">
        <v>4303</v>
      </c>
      <c r="R1331" s="18">
        <v>157248.82</v>
      </c>
      <c r="S1331" s="5" t="s">
        <v>163</v>
      </c>
      <c r="T1331" s="49" t="s">
        <v>36</v>
      </c>
      <c r="U1331" s="45" t="s">
        <v>43</v>
      </c>
      <c r="V1331" s="45"/>
      <c r="W1331" s="5" t="s">
        <v>420</v>
      </c>
      <c r="X1331" s="74" t="s">
        <v>219</v>
      </c>
      <c r="Y1331" s="74" t="s">
        <v>457</v>
      </c>
      <c r="Z1331" s="74" t="s">
        <v>95</v>
      </c>
      <c r="AA1331" s="819" t="s">
        <v>54</v>
      </c>
      <c r="AB1331" s="316" t="s">
        <v>1245</v>
      </c>
      <c r="AC1331" s="95" t="s">
        <v>421</v>
      </c>
      <c r="AD1331" s="70" t="s">
        <v>63</v>
      </c>
      <c r="AE1331" s="306"/>
    </row>
    <row r="1332" spans="1:32" ht="43.2">
      <c r="A1332" s="1363"/>
      <c r="B1332" s="1351" t="s">
        <v>28</v>
      </c>
      <c r="C1332" s="4" t="s">
        <v>35</v>
      </c>
      <c r="D1332" s="9" t="s">
        <v>29</v>
      </c>
      <c r="E1332" s="9"/>
      <c r="F1332" s="9"/>
      <c r="G1332" s="9"/>
      <c r="H1332" s="5" t="s">
        <v>70</v>
      </c>
      <c r="I1332" s="5" t="s">
        <v>34</v>
      </c>
      <c r="J1332" s="1035" t="s">
        <v>908</v>
      </c>
      <c r="K1332" s="61"/>
      <c r="L1332" s="5">
        <v>6</v>
      </c>
      <c r="M1332" s="193">
        <f>IFERROR(EDATE($N1332,-3),"Invalid procurement method or date entered")</f>
        <v>44301</v>
      </c>
      <c r="N1332" s="193">
        <f>IFERROR(EDATE(O1332,-L1332),"Invalid procurement method or date entered")</f>
        <v>44392</v>
      </c>
      <c r="O1332" s="176">
        <v>44576</v>
      </c>
      <c r="P1332" s="12">
        <v>12</v>
      </c>
      <c r="Q1332" s="12">
        <v>12</v>
      </c>
      <c r="R1332" s="18">
        <v>3419</v>
      </c>
      <c r="S1332" s="5" t="s">
        <v>909</v>
      </c>
      <c r="T1332" s="49" t="s">
        <v>54</v>
      </c>
      <c r="U1332" s="45" t="s">
        <v>37</v>
      </c>
      <c r="V1332" s="45"/>
      <c r="W1332" s="12" t="s">
        <v>301</v>
      </c>
      <c r="X1332" s="819" t="s">
        <v>73</v>
      </c>
      <c r="Y1332" s="74" t="s">
        <v>39</v>
      </c>
      <c r="Z1332" s="74" t="s">
        <v>95</v>
      </c>
      <c r="AA1332" s="74" t="s">
        <v>54</v>
      </c>
      <c r="AB1332" s="316" t="s">
        <v>1245</v>
      </c>
      <c r="AC1332" s="847"/>
      <c r="AD1332" s="74" t="s">
        <v>141</v>
      </c>
      <c r="AE1332" s="191"/>
    </row>
    <row r="1333" spans="1:32" ht="52.8">
      <c r="A1333" s="852"/>
      <c r="B1333" s="520" t="s">
        <v>48</v>
      </c>
      <c r="C1333" s="465" t="s">
        <v>2488</v>
      </c>
      <c r="D1333" s="466" t="s">
        <v>60</v>
      </c>
      <c r="E1333" s="466"/>
      <c r="F1333" s="466"/>
      <c r="G1333" s="466"/>
      <c r="H1333" s="466" t="s">
        <v>127</v>
      </c>
      <c r="I1333" s="474" t="s">
        <v>34</v>
      </c>
      <c r="J1333" s="1024" t="s">
        <v>2489</v>
      </c>
      <c r="K1333" s="744"/>
      <c r="L1333" s="466">
        <v>12</v>
      </c>
      <c r="M1333" s="469">
        <f>IF(O1333="tbc","",(IFERROR(EDATE($N1333,-3),"Invalid procurement method or date entered")))</f>
        <v>44486</v>
      </c>
      <c r="N1333" s="469">
        <v>44578</v>
      </c>
      <c r="O1333" s="470">
        <v>44578</v>
      </c>
      <c r="P1333" s="471">
        <v>2</v>
      </c>
      <c r="Q1333" s="471">
        <v>2</v>
      </c>
      <c r="R1333" s="483">
        <v>600000</v>
      </c>
      <c r="S1333" s="470" t="s">
        <v>173</v>
      </c>
      <c r="T1333" s="470" t="s">
        <v>36</v>
      </c>
      <c r="U1333" s="470" t="s">
        <v>54</v>
      </c>
      <c r="V1333" s="470"/>
      <c r="W1333" s="354" t="s">
        <v>41</v>
      </c>
    </row>
    <row r="1334" spans="1:32" ht="72">
      <c r="A1334" s="888"/>
      <c r="B1334" s="114"/>
      <c r="C1334" s="4" t="s">
        <v>3816</v>
      </c>
      <c r="D1334" s="5" t="s">
        <v>29</v>
      </c>
      <c r="E1334" s="5"/>
      <c r="F1334" s="5"/>
      <c r="G1334" s="5"/>
      <c r="H1334" s="5" t="s">
        <v>563</v>
      </c>
      <c r="I1334" s="5" t="s">
        <v>64</v>
      </c>
      <c r="J1334" s="16" t="s">
        <v>564</v>
      </c>
      <c r="K1334" s="8"/>
      <c r="L1334" s="5" t="e">
        <f>IF(OR(S1334=#REF!,S1334=#REF!,S1334=#REF!,S1334=#REF!,S1334=#REF!,S1334=#REF!,S1334=#REF!,S1334=#REF!),12,IF(OR(S1334=#REF!,S1334=#REF!,S1334=#REF!,S1334=#REF!,S1334=#REF!,S1334=#REF!,S1334=#REF!),3,IF(S1334=#REF!,1,IF(S1334=#REF!,18,IF(OR(S1334=#REF!,S1334=#REF!,S1334=#REF!,S1334=#REF!,S1334=#REF!),14,"Invalid proposed procurement method")))))</f>
        <v>#REF!</v>
      </c>
      <c r="M1334" s="193" t="str">
        <f>IFERROR(EDATE($N1334,-3),"Invalid procurement method or date entered")</f>
        <v>Invalid procurement method or date entered</v>
      </c>
      <c r="N1334" s="193" t="str">
        <f>IFERROR(EDATE(O1334,-L1334),"Invalid procurement method or date entered")</f>
        <v>Invalid procurement method or date entered</v>
      </c>
      <c r="O1334" s="193">
        <v>44593</v>
      </c>
      <c r="P1334" s="5">
        <v>60</v>
      </c>
      <c r="Q1334" s="5" t="s">
        <v>3817</v>
      </c>
      <c r="R1334" s="18">
        <v>740000</v>
      </c>
      <c r="S1334" s="5" t="s">
        <v>66</v>
      </c>
      <c r="T1334" s="5" t="s">
        <v>41</v>
      </c>
      <c r="U1334" s="176">
        <v>44089</v>
      </c>
      <c r="V1334" s="176"/>
      <c r="W1334" s="5" t="s">
        <v>3818</v>
      </c>
      <c r="X1334" s="74" t="s">
        <v>68</v>
      </c>
      <c r="Y1334" s="74" t="s">
        <v>457</v>
      </c>
      <c r="Z1334" s="74"/>
      <c r="AA1334" s="74" t="s">
        <v>41</v>
      </c>
      <c r="AB1334" s="316" t="s">
        <v>1250</v>
      </c>
      <c r="AC1334" s="95" t="s">
        <v>4304</v>
      </c>
      <c r="AD1334" s="70" t="s">
        <v>42</v>
      </c>
      <c r="AE1334" s="204">
        <v>148000</v>
      </c>
    </row>
    <row r="1335" spans="1:32" ht="28.8">
      <c r="A1335" s="888"/>
      <c r="B1335" s="4"/>
      <c r="C1335" s="4" t="s">
        <v>35</v>
      </c>
      <c r="D1335" s="9" t="s">
        <v>29</v>
      </c>
      <c r="E1335" s="9"/>
      <c r="F1335" s="9"/>
      <c r="G1335" s="9"/>
      <c r="H1335" s="5" t="s">
        <v>70</v>
      </c>
      <c r="I1335" s="5" t="s">
        <v>34</v>
      </c>
      <c r="J1335" s="1035" t="s">
        <v>1215</v>
      </c>
      <c r="K1335" s="61"/>
      <c r="L1335" s="5">
        <v>6</v>
      </c>
      <c r="M1335" s="193">
        <f>IFERROR(EDATE($N1335,-3),"Invalid procurement method or date entered")</f>
        <v>44317</v>
      </c>
      <c r="N1335" s="193">
        <f>IFERROR(EDATE(O1335,-L1335),"Invalid procurement method or date entered")</f>
        <v>44409</v>
      </c>
      <c r="O1335" s="176">
        <v>44593</v>
      </c>
      <c r="P1335" s="12">
        <v>12</v>
      </c>
      <c r="Q1335" s="12">
        <v>12</v>
      </c>
      <c r="R1335" s="18">
        <v>2500</v>
      </c>
      <c r="S1335" s="5" t="s">
        <v>909</v>
      </c>
      <c r="T1335" s="49" t="s">
        <v>54</v>
      </c>
      <c r="U1335" s="45" t="s">
        <v>37</v>
      </c>
      <c r="V1335" s="45"/>
      <c r="W1335" s="12" t="s">
        <v>301</v>
      </c>
      <c r="X1335" s="74" t="s">
        <v>73</v>
      </c>
      <c r="Y1335" s="74" t="s">
        <v>1283</v>
      </c>
      <c r="Z1335" s="74" t="s">
        <v>95</v>
      </c>
      <c r="AA1335" s="74" t="s">
        <v>41</v>
      </c>
      <c r="AB1335" s="316" t="s">
        <v>1263</v>
      </c>
      <c r="AC1335" s="847"/>
      <c r="AD1335" s="74" t="s">
        <v>450</v>
      </c>
      <c r="AE1335" s="862"/>
    </row>
    <row r="1336" spans="1:32" ht="43.2">
      <c r="A1336" s="1364"/>
      <c r="B1336" s="1351" t="s">
        <v>28</v>
      </c>
      <c r="C1336" s="4" t="s">
        <v>35</v>
      </c>
      <c r="D1336" s="9" t="s">
        <v>29</v>
      </c>
      <c r="E1336" s="9"/>
      <c r="F1336" s="9"/>
      <c r="G1336" s="9"/>
      <c r="H1336" s="5" t="s">
        <v>70</v>
      </c>
      <c r="I1336" s="5" t="s">
        <v>34</v>
      </c>
      <c r="J1336" s="1035" t="s">
        <v>1221</v>
      </c>
      <c r="K1336" s="61"/>
      <c r="L1336" s="5">
        <v>6</v>
      </c>
      <c r="M1336" s="193">
        <f>IFERROR(EDATE($N1336,-3),"Invalid procurement method or date entered")</f>
        <v>44317</v>
      </c>
      <c r="N1336" s="193">
        <f>IFERROR(EDATE(O1336,-L1336),"Invalid procurement method or date entered")</f>
        <v>44409</v>
      </c>
      <c r="O1336" s="176">
        <v>44593</v>
      </c>
      <c r="P1336" s="12">
        <v>12</v>
      </c>
      <c r="Q1336" s="12">
        <v>12</v>
      </c>
      <c r="R1336" s="18">
        <v>1171</v>
      </c>
      <c r="S1336" s="5" t="s">
        <v>909</v>
      </c>
      <c r="T1336" s="49" t="s">
        <v>54</v>
      </c>
      <c r="U1336" s="45" t="s">
        <v>37</v>
      </c>
      <c r="V1336" s="45"/>
      <c r="W1336" s="12" t="s">
        <v>301</v>
      </c>
      <c r="X1336" s="819" t="s">
        <v>73</v>
      </c>
      <c r="Y1336" s="74" t="s">
        <v>39</v>
      </c>
      <c r="Z1336" s="74" t="s">
        <v>95</v>
      </c>
      <c r="AA1336" s="74" t="s">
        <v>54</v>
      </c>
      <c r="AB1336" s="316" t="s">
        <v>1245</v>
      </c>
      <c r="AC1336" s="847"/>
      <c r="AD1336" s="74" t="s">
        <v>141</v>
      </c>
      <c r="AE1336" s="191"/>
    </row>
    <row r="1337" spans="1:32" ht="43.2">
      <c r="A1337" s="1363"/>
      <c r="B1337" s="1351" t="s">
        <v>28</v>
      </c>
      <c r="C1337" s="1351"/>
      <c r="D1337" s="1351" t="s">
        <v>29</v>
      </c>
      <c r="E1337" s="1351"/>
      <c r="F1337" s="1351"/>
      <c r="G1337" s="1351"/>
      <c r="H1337" s="1351" t="s">
        <v>70</v>
      </c>
      <c r="I1337" s="1330" t="s">
        <v>34</v>
      </c>
      <c r="J1337" s="1351" t="s">
        <v>4305</v>
      </c>
      <c r="K1337" s="1351"/>
      <c r="L1337" s="1330">
        <v>1</v>
      </c>
      <c r="M1337" s="193">
        <v>44547</v>
      </c>
      <c r="N1337" s="193">
        <v>44562</v>
      </c>
      <c r="O1337" s="177">
        <v>44593</v>
      </c>
      <c r="P1337" s="258">
        <v>12</v>
      </c>
      <c r="Q1337" s="258">
        <v>12</v>
      </c>
      <c r="R1337" s="1011">
        <v>25000</v>
      </c>
      <c r="S1337" s="5" t="s">
        <v>909</v>
      </c>
      <c r="T1337" s="1330" t="s">
        <v>110</v>
      </c>
      <c r="U1337" s="1330" t="s">
        <v>1308</v>
      </c>
      <c r="V1337" s="1330"/>
      <c r="W1337" s="5" t="s">
        <v>309</v>
      </c>
      <c r="X1337" s="822" t="s">
        <v>73</v>
      </c>
      <c r="Y1337" s="1357" t="s">
        <v>39</v>
      </c>
      <c r="Z1337" s="74" t="s">
        <v>95</v>
      </c>
      <c r="AA1337" s="820" t="s">
        <v>54</v>
      </c>
      <c r="AB1337" s="316" t="s">
        <v>1245</v>
      </c>
      <c r="AC1337" s="1331" t="s">
        <v>4306</v>
      </c>
      <c r="AD1337" s="74" t="s">
        <v>74</v>
      </c>
      <c r="AE1337" s="1357"/>
    </row>
    <row r="1338" spans="1:32" ht="43.2">
      <c r="A1338" s="1363"/>
      <c r="B1338" s="1351" t="s">
        <v>28</v>
      </c>
      <c r="C1338" s="4"/>
      <c r="D1338" s="1335" t="s">
        <v>29</v>
      </c>
      <c r="E1338" s="1335"/>
      <c r="F1338" s="1335"/>
      <c r="G1338" s="1335"/>
      <c r="H1338" s="5" t="s">
        <v>171</v>
      </c>
      <c r="I1338" s="1335" t="s">
        <v>34</v>
      </c>
      <c r="J1338" s="1339" t="s">
        <v>4307</v>
      </c>
      <c r="K1338" s="1327"/>
      <c r="L1338" s="5"/>
      <c r="M1338" s="193">
        <v>44562</v>
      </c>
      <c r="N1338" s="193"/>
      <c r="O1338" s="1337">
        <v>44593</v>
      </c>
      <c r="P1338" s="12">
        <v>3</v>
      </c>
      <c r="Q1338" s="1335">
        <v>3</v>
      </c>
      <c r="R1338" s="1011">
        <v>10000</v>
      </c>
      <c r="S1338" s="1011" t="s">
        <v>909</v>
      </c>
      <c r="T1338" s="293" t="s">
        <v>54</v>
      </c>
      <c r="U1338" s="1012" t="s">
        <v>37</v>
      </c>
      <c r="V1338" s="1012"/>
      <c r="W1338" s="5" t="s">
        <v>4011</v>
      </c>
      <c r="X1338" s="74" t="s">
        <v>219</v>
      </c>
      <c r="Y1338" s="1342" t="s">
        <v>39</v>
      </c>
      <c r="Z1338" s="74"/>
      <c r="AA1338" s="74" t="s">
        <v>54</v>
      </c>
      <c r="AB1338" s="316" t="s">
        <v>1245</v>
      </c>
      <c r="AC1338" s="1341" t="s">
        <v>4308</v>
      </c>
      <c r="AD1338" s="70" t="s">
        <v>171</v>
      </c>
      <c r="AE1338" s="306">
        <v>750</v>
      </c>
    </row>
    <row r="1339" spans="1:32" ht="43.2">
      <c r="A1339" s="1363"/>
      <c r="B1339" s="1351" t="s">
        <v>28</v>
      </c>
      <c r="C1339" s="4" t="s">
        <v>35</v>
      </c>
      <c r="D1339" s="9" t="s">
        <v>29</v>
      </c>
      <c r="E1339" s="9"/>
      <c r="F1339" s="9"/>
      <c r="G1339" s="9"/>
      <c r="H1339" s="5" t="s">
        <v>70</v>
      </c>
      <c r="I1339" s="5" t="s">
        <v>34</v>
      </c>
      <c r="J1339" s="16" t="s">
        <v>1364</v>
      </c>
      <c r="K1339" s="8"/>
      <c r="L1339" s="5">
        <v>1</v>
      </c>
      <c r="M1339" s="193">
        <v>44603</v>
      </c>
      <c r="N1339" s="193">
        <v>44603</v>
      </c>
      <c r="O1339" s="14">
        <v>44593</v>
      </c>
      <c r="P1339" s="5">
        <v>36</v>
      </c>
      <c r="Q1339" s="5" t="s">
        <v>318</v>
      </c>
      <c r="R1339" s="58">
        <v>104016</v>
      </c>
      <c r="S1339" s="5" t="s">
        <v>164</v>
      </c>
      <c r="T1339" s="293" t="s">
        <v>36</v>
      </c>
      <c r="U1339" s="294" t="s">
        <v>37</v>
      </c>
      <c r="V1339" s="294"/>
      <c r="W1339" s="5" t="s">
        <v>113</v>
      </c>
      <c r="X1339" s="74" t="s">
        <v>1101</v>
      </c>
      <c r="Y1339" s="74" t="s">
        <v>457</v>
      </c>
      <c r="Z1339" s="74"/>
      <c r="AA1339" s="74" t="s">
        <v>54</v>
      </c>
      <c r="AB1339" s="316">
        <v>44685</v>
      </c>
      <c r="AC1339" s="847" t="s">
        <v>4309</v>
      </c>
      <c r="AD1339" s="74" t="s">
        <v>114</v>
      </c>
      <c r="AE1339" s="204"/>
    </row>
    <row r="1340" spans="1:32" ht="57.6">
      <c r="A1340" s="888"/>
      <c r="B1340" s="194" t="s">
        <v>145</v>
      </c>
      <c r="C1340" s="194" t="s">
        <v>35</v>
      </c>
      <c r="D1340" s="8" t="s">
        <v>92</v>
      </c>
      <c r="E1340" s="8"/>
      <c r="F1340" s="8"/>
      <c r="G1340" s="8"/>
      <c r="H1340" s="16" t="s">
        <v>148</v>
      </c>
      <c r="I1340" s="16" t="s">
        <v>64</v>
      </c>
      <c r="J1340" s="16" t="s">
        <v>4310</v>
      </c>
      <c r="K1340" s="8"/>
      <c r="L1340" s="5">
        <v>12</v>
      </c>
      <c r="M1340" s="193">
        <f>IFERROR(EDATE(N1340,-3),"Invalid procurement method or date entered")</f>
        <v>44136</v>
      </c>
      <c r="N1340" s="143">
        <f>IFERROR(EDATE(O1340,-L1340),"Invalid procurement method or date entered")</f>
        <v>44228</v>
      </c>
      <c r="O1340" s="328">
        <v>44593</v>
      </c>
      <c r="P1340" s="43">
        <v>60</v>
      </c>
      <c r="Q1340" s="320">
        <v>60</v>
      </c>
      <c r="R1340" s="153">
        <v>11500000</v>
      </c>
      <c r="S1340" s="153" t="s">
        <v>66</v>
      </c>
      <c r="T1340" s="326" t="s">
        <v>41</v>
      </c>
      <c r="U1340" s="326" t="s">
        <v>4311</v>
      </c>
      <c r="V1340" s="326"/>
      <c r="W1340" s="8" t="s">
        <v>715</v>
      </c>
      <c r="X1340" s="105" t="s">
        <v>428</v>
      </c>
      <c r="Y1340" s="105" t="s">
        <v>1322</v>
      </c>
      <c r="Z1340" s="105"/>
      <c r="AA1340" s="829" t="s">
        <v>80</v>
      </c>
      <c r="AB1340" s="839" t="s">
        <v>41</v>
      </c>
      <c r="AC1340" s="447">
        <v>44770</v>
      </c>
      <c r="AD1340" s="447"/>
      <c r="AE1340" s="447"/>
    </row>
    <row r="1341" spans="1:32" ht="51" customHeight="1">
      <c r="A1341" s="852"/>
      <c r="B1341" s="520" t="s">
        <v>48</v>
      </c>
      <c r="C1341" s="602" t="s">
        <v>2471</v>
      </c>
      <c r="D1341" s="603" t="s">
        <v>82</v>
      </c>
      <c r="E1341" s="603"/>
      <c r="F1341" s="603"/>
      <c r="G1341" s="603"/>
      <c r="H1341" s="603" t="s">
        <v>49</v>
      </c>
      <c r="I1341" s="602" t="s">
        <v>34</v>
      </c>
      <c r="J1341" s="1042" t="s">
        <v>2472</v>
      </c>
      <c r="K1341" s="484"/>
      <c r="L1341" s="466">
        <v>12</v>
      </c>
      <c r="M1341" s="469">
        <f>IF(O1341="tbc","",(IFERROR(EDATE($N1341,-3),"Invalid procurement method or date entered")))</f>
        <v>44347</v>
      </c>
      <c r="N1341" s="469">
        <v>44439</v>
      </c>
      <c r="O1341" s="489">
        <v>44593</v>
      </c>
      <c r="P1341" s="490">
        <v>3</v>
      </c>
      <c r="Q1341" s="490">
        <v>3</v>
      </c>
      <c r="R1341" s="483">
        <v>178000</v>
      </c>
      <c r="S1341" s="470" t="s">
        <v>173</v>
      </c>
      <c r="T1341" s="470" t="s">
        <v>36</v>
      </c>
      <c r="U1341" s="470" t="s">
        <v>125</v>
      </c>
      <c r="V1341" s="470"/>
      <c r="W1341" s="354" t="s">
        <v>41</v>
      </c>
    </row>
    <row r="1342" spans="1:32" ht="66">
      <c r="A1342" s="852"/>
      <c r="B1342" s="520" t="s">
        <v>48</v>
      </c>
      <c r="C1342" s="465">
        <v>46476</v>
      </c>
      <c r="D1342" s="466" t="s">
        <v>29</v>
      </c>
      <c r="E1342" s="466"/>
      <c r="F1342" s="466"/>
      <c r="G1342" s="466"/>
      <c r="H1342" s="466" t="s">
        <v>49</v>
      </c>
      <c r="I1342" s="474" t="s">
        <v>34</v>
      </c>
      <c r="J1342" s="1024" t="s">
        <v>2478</v>
      </c>
      <c r="K1342" s="484"/>
      <c r="L1342" s="466">
        <v>12</v>
      </c>
      <c r="M1342" s="469">
        <v>44567</v>
      </c>
      <c r="N1342" s="469">
        <v>44228</v>
      </c>
      <c r="O1342" s="470">
        <v>44593</v>
      </c>
      <c r="P1342" s="471">
        <v>48</v>
      </c>
      <c r="Q1342" s="471" t="s">
        <v>191</v>
      </c>
      <c r="R1342" s="483">
        <v>570000</v>
      </c>
      <c r="S1342" s="470" t="s">
        <v>98</v>
      </c>
      <c r="T1342" s="470" t="s">
        <v>144</v>
      </c>
      <c r="U1342" s="465" t="s">
        <v>125</v>
      </c>
      <c r="V1342" s="465"/>
      <c r="W1342" s="354" t="s">
        <v>41</v>
      </c>
    </row>
    <row r="1343" spans="1:32" ht="66">
      <c r="A1343" s="852"/>
      <c r="B1343" s="520" t="s">
        <v>48</v>
      </c>
      <c r="C1343" s="465">
        <v>47315</v>
      </c>
      <c r="D1343" s="466" t="s">
        <v>60</v>
      </c>
      <c r="E1343" s="466"/>
      <c r="F1343" s="466"/>
      <c r="G1343" s="466"/>
      <c r="H1343" s="466" t="s">
        <v>127</v>
      </c>
      <c r="I1343" s="474" t="s">
        <v>34</v>
      </c>
      <c r="J1343" s="1024" t="s">
        <v>2490</v>
      </c>
      <c r="K1343" s="484"/>
      <c r="L1343" s="466">
        <v>3</v>
      </c>
      <c r="M1343" s="469">
        <v>44504</v>
      </c>
      <c r="N1343" s="469">
        <f>IF(O1343="tbc","",(IFERROR(EDATE(O1343,-L1343),"Invalid procurement method or date entered")))</f>
        <v>44501</v>
      </c>
      <c r="O1343" s="489">
        <v>44593</v>
      </c>
      <c r="P1343" s="465">
        <v>1</v>
      </c>
      <c r="Q1343" s="490">
        <v>1</v>
      </c>
      <c r="R1343" s="483">
        <v>30000</v>
      </c>
      <c r="S1343" s="508" t="s">
        <v>129</v>
      </c>
      <c r="T1343" s="509" t="s">
        <v>125</v>
      </c>
      <c r="U1343" s="470" t="s">
        <v>125</v>
      </c>
      <c r="V1343" s="470"/>
      <c r="W1343" s="354" t="s">
        <v>41</v>
      </c>
    </row>
    <row r="1344" spans="1:32" ht="79.2">
      <c r="A1344" s="852"/>
      <c r="B1344" s="520" t="s">
        <v>48</v>
      </c>
      <c r="C1344" s="465">
        <v>46439</v>
      </c>
      <c r="D1344" s="466" t="s">
        <v>29</v>
      </c>
      <c r="E1344" s="466"/>
      <c r="F1344" s="466"/>
      <c r="G1344" s="466"/>
      <c r="H1344" s="466" t="s">
        <v>49</v>
      </c>
      <c r="I1344" s="474" t="s">
        <v>34</v>
      </c>
      <c r="J1344" s="1024" t="s">
        <v>2495</v>
      </c>
      <c r="K1344" s="744"/>
      <c r="L1344" s="466">
        <v>12</v>
      </c>
      <c r="M1344" s="468">
        <f>IF(O1344="tbc","",(IFERROR(EDATE($N1344,-3),"Invalid procurement method or date entered")))</f>
        <v>44136</v>
      </c>
      <c r="N1344" s="469">
        <f>IF(O1344="tbc","",(IFERROR(EDATE(O1344,-L1344),"Invalid procurement method or date entered")))</f>
        <v>44228</v>
      </c>
      <c r="O1344" s="470">
        <v>44593</v>
      </c>
      <c r="P1344" s="471">
        <v>48</v>
      </c>
      <c r="Q1344" s="471" t="s">
        <v>191</v>
      </c>
      <c r="R1344" s="483">
        <v>8510000</v>
      </c>
      <c r="S1344" s="470" t="s">
        <v>98</v>
      </c>
      <c r="T1344" s="470" t="s">
        <v>144</v>
      </c>
      <c r="U1344" s="465" t="s">
        <v>125</v>
      </c>
      <c r="V1344" s="465"/>
      <c r="W1344" s="354" t="s">
        <v>41</v>
      </c>
    </row>
    <row r="1345" spans="1:32" ht="79.2">
      <c r="A1345" s="852"/>
      <c r="B1345" s="520" t="s">
        <v>48</v>
      </c>
      <c r="C1345" s="465">
        <v>46476</v>
      </c>
      <c r="D1345" s="466" t="s">
        <v>29</v>
      </c>
      <c r="E1345" s="466"/>
      <c r="F1345" s="466"/>
      <c r="G1345" s="466"/>
      <c r="H1345" s="466" t="s">
        <v>49</v>
      </c>
      <c r="I1345" s="474" t="s">
        <v>34</v>
      </c>
      <c r="J1345" s="1024" t="s">
        <v>2496</v>
      </c>
      <c r="K1345" s="744"/>
      <c r="L1345" s="466">
        <v>12</v>
      </c>
      <c r="M1345" s="468">
        <f>IF(O1345="tbc","",(IFERROR(EDATE($N1345,-3),"Invalid procurement method or date entered")))</f>
        <v>44136</v>
      </c>
      <c r="N1345" s="469">
        <f>IF(O1345="tbc","",(IFERROR(EDATE(O1345,-L1345),"Invalid procurement method or date entered")))</f>
        <v>44228</v>
      </c>
      <c r="O1345" s="470">
        <v>44593</v>
      </c>
      <c r="P1345" s="471">
        <v>48</v>
      </c>
      <c r="Q1345" s="471" t="s">
        <v>191</v>
      </c>
      <c r="R1345" s="483">
        <v>570000</v>
      </c>
      <c r="S1345" s="470" t="s">
        <v>98</v>
      </c>
      <c r="T1345" s="470" t="s">
        <v>144</v>
      </c>
      <c r="U1345" s="465" t="s">
        <v>125</v>
      </c>
      <c r="V1345" s="465"/>
      <c r="W1345" s="354" t="s">
        <v>41</v>
      </c>
    </row>
    <row r="1346" spans="1:32" ht="27.6">
      <c r="A1346" s="686" t="s">
        <v>43</v>
      </c>
      <c r="B1346" s="626" t="s">
        <v>145</v>
      </c>
      <c r="C1346" s="626" t="s">
        <v>35</v>
      </c>
      <c r="D1346" s="626" t="s">
        <v>92</v>
      </c>
      <c r="E1346" s="626"/>
      <c r="F1346" s="626"/>
      <c r="G1346" s="626"/>
      <c r="H1346" s="626" t="s">
        <v>148</v>
      </c>
      <c r="I1346" s="628" t="s">
        <v>34</v>
      </c>
      <c r="J1346" s="1048" t="s">
        <v>4312</v>
      </c>
      <c r="K1346" s="628"/>
      <c r="L1346" s="628">
        <v>12</v>
      </c>
      <c r="M1346" s="629">
        <f>IFERROR(EDATE(N1346,-3),"Invalid procurement method or date entered")</f>
        <v>44136</v>
      </c>
      <c r="N1346" s="630">
        <f>IFERROR(EDATE(O1346,-L1346),"Invalid procurement method or date entered")</f>
        <v>44228</v>
      </c>
      <c r="O1346" s="629">
        <v>44593</v>
      </c>
      <c r="P1346" s="626" t="s">
        <v>35</v>
      </c>
      <c r="Q1346" s="626" t="s">
        <v>35</v>
      </c>
      <c r="R1346" s="653">
        <v>45000</v>
      </c>
      <c r="S1346" s="646" t="s">
        <v>163</v>
      </c>
      <c r="T1346" s="626" t="s">
        <v>54</v>
      </c>
      <c r="U1346" s="626" t="s">
        <v>43</v>
      </c>
      <c r="V1346" s="626"/>
      <c r="W1346" s="626" t="s">
        <v>3373</v>
      </c>
      <c r="X1346" s="655" t="s">
        <v>254</v>
      </c>
      <c r="Y1346" s="669" t="s">
        <v>457</v>
      </c>
      <c r="Z1346" s="655" t="s">
        <v>35</v>
      </c>
      <c r="AA1346" s="655" t="s">
        <v>41</v>
      </c>
      <c r="AB1346" s="993">
        <v>44871</v>
      </c>
      <c r="AC1346" s="850" t="s">
        <v>4313</v>
      </c>
      <c r="AD1346" s="698"/>
      <c r="AE1346" s="698"/>
      <c r="AF1346" s="1"/>
    </row>
    <row r="1347" spans="1:32" ht="27.6">
      <c r="A1347" s="686" t="s">
        <v>43</v>
      </c>
      <c r="B1347" s="626" t="s">
        <v>145</v>
      </c>
      <c r="C1347" s="626" t="s">
        <v>35</v>
      </c>
      <c r="D1347" s="626" t="s">
        <v>92</v>
      </c>
      <c r="E1347" s="626"/>
      <c r="F1347" s="626"/>
      <c r="G1347" s="626"/>
      <c r="H1347" s="628" t="s">
        <v>148</v>
      </c>
      <c r="I1347" s="628" t="s">
        <v>879</v>
      </c>
      <c r="J1347" s="1048" t="s">
        <v>4314</v>
      </c>
      <c r="K1347" s="628"/>
      <c r="L1347" s="628">
        <v>1</v>
      </c>
      <c r="M1347" s="629">
        <f>IFERROR(EDATE(N1347,-3),"Invalid procurement method or date entered")</f>
        <v>44470</v>
      </c>
      <c r="N1347" s="630">
        <f>IFERROR(EDATE(O1347,-L1347),"Invalid procurement method or date entered")</f>
        <v>44562</v>
      </c>
      <c r="O1347" s="629">
        <v>44593</v>
      </c>
      <c r="P1347" s="628">
        <v>3</v>
      </c>
      <c r="Q1347" s="626">
        <v>3</v>
      </c>
      <c r="R1347" s="653">
        <v>25000</v>
      </c>
      <c r="S1347" s="646" t="s">
        <v>909</v>
      </c>
      <c r="T1347" s="628" t="s">
        <v>54</v>
      </c>
      <c r="U1347" s="628" t="s">
        <v>43</v>
      </c>
      <c r="V1347" s="628"/>
      <c r="W1347" s="628" t="s">
        <v>606</v>
      </c>
      <c r="X1347" s="669" t="s">
        <v>73</v>
      </c>
      <c r="Y1347" s="669" t="s">
        <v>457</v>
      </c>
      <c r="Z1347" s="669" t="s">
        <v>35</v>
      </c>
      <c r="AA1347" s="830" t="s">
        <v>41</v>
      </c>
      <c r="AB1347" s="993">
        <v>44871</v>
      </c>
      <c r="AC1347" s="707" t="s">
        <v>4315</v>
      </c>
      <c r="AD1347" s="669"/>
      <c r="AE1347" s="669"/>
      <c r="AF1347" s="691"/>
    </row>
    <row r="1348" spans="1:32" ht="27.6">
      <c r="A1348" s="686" t="s">
        <v>43</v>
      </c>
      <c r="B1348" s="626" t="s">
        <v>145</v>
      </c>
      <c r="C1348" s="626" t="s">
        <v>35</v>
      </c>
      <c r="D1348" s="626" t="s">
        <v>92</v>
      </c>
      <c r="E1348" s="626"/>
      <c r="F1348" s="626"/>
      <c r="G1348" s="626"/>
      <c r="H1348" s="628" t="s">
        <v>148</v>
      </c>
      <c r="I1348" s="628" t="s">
        <v>879</v>
      </c>
      <c r="J1348" s="1048" t="s">
        <v>4316</v>
      </c>
      <c r="K1348" s="628"/>
      <c r="L1348" s="628">
        <v>1</v>
      </c>
      <c r="M1348" s="629">
        <f>IFERROR(EDATE(N1348,-3),"Invalid procurement method or date entered")</f>
        <v>44470</v>
      </c>
      <c r="N1348" s="630">
        <f>IFERROR(EDATE(O1348,-L1348),"Invalid procurement method or date entered")</f>
        <v>44562</v>
      </c>
      <c r="O1348" s="629">
        <v>44593</v>
      </c>
      <c r="P1348" s="628">
        <v>3</v>
      </c>
      <c r="Q1348" s="626">
        <v>3</v>
      </c>
      <c r="R1348" s="653">
        <v>25000</v>
      </c>
      <c r="S1348" s="646" t="s">
        <v>909</v>
      </c>
      <c r="T1348" s="628" t="s">
        <v>54</v>
      </c>
      <c r="U1348" s="628" t="s">
        <v>43</v>
      </c>
      <c r="V1348" s="628"/>
      <c r="W1348" s="628" t="s">
        <v>556</v>
      </c>
      <c r="X1348" s="669" t="s">
        <v>254</v>
      </c>
      <c r="Y1348" s="669" t="s">
        <v>457</v>
      </c>
      <c r="Z1348" s="669" t="s">
        <v>35</v>
      </c>
      <c r="AA1348" s="830" t="s">
        <v>41</v>
      </c>
      <c r="AB1348" s="993">
        <v>44871</v>
      </c>
      <c r="AC1348" s="707" t="s">
        <v>4317</v>
      </c>
      <c r="AD1348" s="669"/>
      <c r="AE1348" s="669"/>
      <c r="AF1348" s="691"/>
    </row>
    <row r="1349" spans="1:32" ht="82.8">
      <c r="A1349" s="695">
        <v>44708</v>
      </c>
      <c r="B1349" s="634" t="s">
        <v>48</v>
      </c>
      <c r="C1349" s="634" t="s">
        <v>125</v>
      </c>
      <c r="D1349" s="638" t="s">
        <v>29</v>
      </c>
      <c r="E1349" s="638"/>
      <c r="F1349" s="638"/>
      <c r="G1349" s="638"/>
      <c r="H1349" s="638" t="s">
        <v>49</v>
      </c>
      <c r="I1349" s="634" t="s">
        <v>50</v>
      </c>
      <c r="J1349" s="1047" t="s">
        <v>4318</v>
      </c>
      <c r="K1349" s="634" t="s">
        <v>4319</v>
      </c>
      <c r="L1349" s="638">
        <v>3</v>
      </c>
      <c r="M1349" s="639" t="s">
        <v>43</v>
      </c>
      <c r="N1349" s="630" t="s">
        <v>43</v>
      </c>
      <c r="O1349" s="647">
        <v>44593</v>
      </c>
      <c r="P1349" s="687">
        <v>48</v>
      </c>
      <c r="Q1349" s="687" t="s">
        <v>157</v>
      </c>
      <c r="R1349" s="653" t="s">
        <v>4320</v>
      </c>
      <c r="S1349" s="629" t="s">
        <v>186</v>
      </c>
      <c r="T1349" s="629" t="s">
        <v>100</v>
      </c>
      <c r="U1349" s="629" t="s">
        <v>125</v>
      </c>
      <c r="V1349" s="629"/>
      <c r="W1349" s="634" t="s">
        <v>384</v>
      </c>
      <c r="X1349" s="698" t="s">
        <v>68</v>
      </c>
      <c r="Y1349" s="688" t="s">
        <v>457</v>
      </c>
      <c r="Z1349" s="688" t="s">
        <v>40</v>
      </c>
      <c r="AA1349" s="686" t="s">
        <v>41</v>
      </c>
      <c r="AB1349" s="993" t="s">
        <v>1341</v>
      </c>
      <c r="AC1349" s="1245" t="s">
        <v>4321</v>
      </c>
      <c r="AD1349" s="1145"/>
      <c r="AE1349" s="1145"/>
      <c r="AF1349" s="691"/>
    </row>
    <row r="1350" spans="1:32" ht="15.6">
      <c r="A1350" s="1061">
        <v>44974</v>
      </c>
      <c r="B1350" s="1066" t="s">
        <v>210</v>
      </c>
      <c r="C1350" s="1072">
        <v>27843</v>
      </c>
      <c r="D1350" s="1072" t="s">
        <v>2856</v>
      </c>
      <c r="E1350" s="1066" t="s">
        <v>210</v>
      </c>
      <c r="F1350" s="1066" t="s">
        <v>190</v>
      </c>
      <c r="G1350" s="1066" t="s">
        <v>190</v>
      </c>
      <c r="H1350" s="1066" t="s">
        <v>190</v>
      </c>
      <c r="I1350" s="1066" t="s">
        <v>190</v>
      </c>
      <c r="J1350" s="1095" t="s">
        <v>4322</v>
      </c>
      <c r="K1350" s="1072" t="s">
        <v>4323</v>
      </c>
      <c r="L1350" s="1066" t="s">
        <v>190</v>
      </c>
      <c r="M1350" s="1066" t="s">
        <v>190</v>
      </c>
      <c r="N1350" s="1066" t="s">
        <v>190</v>
      </c>
      <c r="O1350" s="1142">
        <v>44593</v>
      </c>
      <c r="P1350" s="1142">
        <v>44804</v>
      </c>
      <c r="Q1350" s="1072" t="s">
        <v>100</v>
      </c>
      <c r="R1350" s="1176">
        <v>7380</v>
      </c>
      <c r="S1350" s="1072" t="s">
        <v>158</v>
      </c>
      <c r="T1350" s="1066" t="s">
        <v>190</v>
      </c>
      <c r="U1350" s="1066" t="s">
        <v>190</v>
      </c>
      <c r="V1350" s="1066"/>
      <c r="W1350" s="1072" t="s">
        <v>4324</v>
      </c>
      <c r="X1350" s="1116" t="s">
        <v>1346</v>
      </c>
      <c r="Y1350" s="1116" t="s">
        <v>1266</v>
      </c>
      <c r="Z1350" s="1068" t="s">
        <v>190</v>
      </c>
      <c r="AA1350" s="1068" t="s">
        <v>190</v>
      </c>
      <c r="AB1350" s="1068" t="s">
        <v>190</v>
      </c>
      <c r="AC1350" s="694" t="s">
        <v>4325</v>
      </c>
      <c r="AD1350" s="1068" t="s">
        <v>190</v>
      </c>
      <c r="AE1350" s="1193">
        <v>7380</v>
      </c>
    </row>
    <row r="1351" spans="1:32" ht="15.6">
      <c r="A1351" s="1061">
        <v>44974</v>
      </c>
      <c r="B1351" s="1066" t="s">
        <v>210</v>
      </c>
      <c r="C1351" s="1072">
        <v>27844</v>
      </c>
      <c r="D1351" s="1072" t="s">
        <v>2856</v>
      </c>
      <c r="E1351" s="1066" t="s">
        <v>210</v>
      </c>
      <c r="F1351" s="1066" t="s">
        <v>190</v>
      </c>
      <c r="G1351" s="1066" t="s">
        <v>190</v>
      </c>
      <c r="H1351" s="1066" t="s">
        <v>190</v>
      </c>
      <c r="I1351" s="1066" t="s">
        <v>190</v>
      </c>
      <c r="J1351" s="1095" t="s">
        <v>4326</v>
      </c>
      <c r="K1351" s="1072" t="s">
        <v>4323</v>
      </c>
      <c r="L1351" s="1066" t="s">
        <v>190</v>
      </c>
      <c r="M1351" s="1066" t="s">
        <v>190</v>
      </c>
      <c r="N1351" s="1066" t="s">
        <v>190</v>
      </c>
      <c r="O1351" s="1142">
        <v>44593</v>
      </c>
      <c r="P1351" s="1142">
        <v>44804</v>
      </c>
      <c r="Q1351" s="1072" t="s">
        <v>100</v>
      </c>
      <c r="R1351" s="1176">
        <v>5760</v>
      </c>
      <c r="S1351" s="1072" t="s">
        <v>158</v>
      </c>
      <c r="T1351" s="1066" t="s">
        <v>190</v>
      </c>
      <c r="U1351" s="1066" t="s">
        <v>190</v>
      </c>
      <c r="V1351" s="1066"/>
      <c r="W1351" s="1072" t="s">
        <v>4324</v>
      </c>
      <c r="X1351" s="1116" t="s">
        <v>1346</v>
      </c>
      <c r="Y1351" s="1116" t="s">
        <v>1266</v>
      </c>
      <c r="Z1351" s="1068" t="s">
        <v>190</v>
      </c>
      <c r="AA1351" s="1068" t="s">
        <v>190</v>
      </c>
      <c r="AB1351" s="1068" t="s">
        <v>190</v>
      </c>
      <c r="AC1351" s="694" t="s">
        <v>4325</v>
      </c>
      <c r="AD1351" s="1068" t="s">
        <v>190</v>
      </c>
      <c r="AE1351" s="1193">
        <v>5760</v>
      </c>
    </row>
    <row r="1352" spans="1:32" ht="52.8">
      <c r="A1352" s="852"/>
      <c r="B1352" s="520" t="s">
        <v>48</v>
      </c>
      <c r="C1352" s="465" t="s">
        <v>125</v>
      </c>
      <c r="D1352" s="466" t="s">
        <v>60</v>
      </c>
      <c r="E1352" s="466"/>
      <c r="F1352" s="466"/>
      <c r="G1352" s="466"/>
      <c r="H1352" s="466" t="s">
        <v>127</v>
      </c>
      <c r="I1352" s="465" t="s">
        <v>34</v>
      </c>
      <c r="J1352" s="1025" t="s">
        <v>2483</v>
      </c>
      <c r="K1352" s="744"/>
      <c r="L1352" s="466">
        <v>3</v>
      </c>
      <c r="M1352" s="469">
        <f>IF(O1352="tbc","",(IFERROR(EDATE($N1352,-3),"Invalid procurement method or date entered")))</f>
        <v>44413</v>
      </c>
      <c r="N1352" s="469">
        <f>IF(O1352="tbc","",(IFERROR(EDATE(O1352,-L1352),"Invalid procurement method or date entered")))</f>
        <v>44505</v>
      </c>
      <c r="O1352" s="489">
        <v>44597</v>
      </c>
      <c r="P1352" s="490">
        <v>1</v>
      </c>
      <c r="Q1352" s="490">
        <v>1</v>
      </c>
      <c r="R1352" s="483">
        <v>50000</v>
      </c>
      <c r="S1352" s="470" t="s">
        <v>163</v>
      </c>
      <c r="T1352" s="470" t="s">
        <v>36</v>
      </c>
      <c r="U1352" s="470" t="s">
        <v>125</v>
      </c>
      <c r="V1352" s="470"/>
      <c r="W1352" s="354" t="s">
        <v>41</v>
      </c>
    </row>
    <row r="1353" spans="1:32" ht="86.4">
      <c r="A1353" s="1364"/>
      <c r="B1353" s="1351" t="s">
        <v>28</v>
      </c>
      <c r="C1353" s="4" t="s">
        <v>3830</v>
      </c>
      <c r="D1353" s="5" t="s">
        <v>29</v>
      </c>
      <c r="E1353" s="5"/>
      <c r="F1353" s="5"/>
      <c r="G1353" s="5"/>
      <c r="H1353" s="5" t="s">
        <v>70</v>
      </c>
      <c r="I1353" s="5" t="s">
        <v>64</v>
      </c>
      <c r="J1353" s="16" t="s">
        <v>3831</v>
      </c>
      <c r="K1353" s="16"/>
      <c r="L1353" s="5">
        <v>12</v>
      </c>
      <c r="M1353" s="193">
        <f>IFERROR(EDATE($N1353,-3),"Invalid procurement method or date entered")</f>
        <v>44141</v>
      </c>
      <c r="N1353" s="193">
        <f>IFERROR(EDATE(O1353,-L1353),"Invalid procurement method or date entered")</f>
        <v>44233</v>
      </c>
      <c r="O1353" s="176">
        <v>44598</v>
      </c>
      <c r="P1353" s="12">
        <v>24</v>
      </c>
      <c r="Q1353" s="12" t="s">
        <v>3919</v>
      </c>
      <c r="R1353" s="18">
        <v>20000</v>
      </c>
      <c r="S1353" s="5" t="s">
        <v>66</v>
      </c>
      <c r="T1353" s="5" t="s">
        <v>54</v>
      </c>
      <c r="U1353" s="176" t="s">
        <v>37</v>
      </c>
      <c r="V1353" s="176"/>
      <c r="W1353" s="5" t="s">
        <v>3832</v>
      </c>
      <c r="X1353" s="74" t="s">
        <v>1088</v>
      </c>
      <c r="Y1353" s="74" t="s">
        <v>457</v>
      </c>
      <c r="Z1353" s="74" t="s">
        <v>95</v>
      </c>
      <c r="AA1353" s="74" t="s">
        <v>41</v>
      </c>
      <c r="AB1353" s="316" t="s">
        <v>1245</v>
      </c>
      <c r="AC1353" s="95" t="s">
        <v>4327</v>
      </c>
      <c r="AD1353" s="74" t="s">
        <v>85</v>
      </c>
      <c r="AE1353" s="867"/>
    </row>
    <row r="1354" spans="1:32" ht="15.6">
      <c r="A1354" s="1061">
        <v>44974</v>
      </c>
      <c r="B1354" s="1066" t="s">
        <v>210</v>
      </c>
      <c r="C1354" s="1072">
        <v>33125</v>
      </c>
      <c r="D1354" s="1072" t="s">
        <v>1034</v>
      </c>
      <c r="E1354" s="1066" t="s">
        <v>210</v>
      </c>
      <c r="F1354" s="1066" t="s">
        <v>190</v>
      </c>
      <c r="G1354" s="1066" t="s">
        <v>190</v>
      </c>
      <c r="H1354" s="1066" t="s">
        <v>190</v>
      </c>
      <c r="I1354" s="1066" t="s">
        <v>190</v>
      </c>
      <c r="J1354" s="1095" t="s">
        <v>1185</v>
      </c>
      <c r="K1354" s="1072" t="s">
        <v>995</v>
      </c>
      <c r="L1354" s="1066" t="s">
        <v>190</v>
      </c>
      <c r="M1354" s="1066" t="s">
        <v>190</v>
      </c>
      <c r="N1354" s="1066" t="s">
        <v>190</v>
      </c>
      <c r="O1354" s="1142">
        <v>44598</v>
      </c>
      <c r="P1354" s="1142">
        <v>44963</v>
      </c>
      <c r="Q1354" s="1072" t="s">
        <v>318</v>
      </c>
      <c r="R1354" s="1176">
        <v>28140</v>
      </c>
      <c r="S1354" s="1072" t="s">
        <v>1359</v>
      </c>
      <c r="T1354" s="1066" t="s">
        <v>190</v>
      </c>
      <c r="U1354" s="1066" t="s">
        <v>190</v>
      </c>
      <c r="V1354" s="1066"/>
      <c r="W1354" s="1072" t="s">
        <v>1036</v>
      </c>
      <c r="X1354" s="1116" t="s">
        <v>1346</v>
      </c>
      <c r="Y1354" s="1116" t="s">
        <v>1266</v>
      </c>
      <c r="Z1354" s="1068" t="s">
        <v>190</v>
      </c>
      <c r="AA1354" s="1068" t="s">
        <v>190</v>
      </c>
      <c r="AB1354" s="1068" t="s">
        <v>190</v>
      </c>
      <c r="AC1354" s="694" t="s">
        <v>4328</v>
      </c>
      <c r="AD1354" s="1068" t="s">
        <v>190</v>
      </c>
      <c r="AE1354" s="1193">
        <v>28140</v>
      </c>
    </row>
    <row r="1355" spans="1:32" ht="15.6">
      <c r="A1355" s="1061">
        <v>44974</v>
      </c>
      <c r="B1355" s="1066" t="s">
        <v>210</v>
      </c>
      <c r="C1355" s="1072">
        <v>33125</v>
      </c>
      <c r="D1355" s="1072" t="s">
        <v>1034</v>
      </c>
      <c r="E1355" s="1066" t="s">
        <v>210</v>
      </c>
      <c r="F1355" s="1066" t="s">
        <v>190</v>
      </c>
      <c r="G1355" s="1066" t="s">
        <v>190</v>
      </c>
      <c r="H1355" s="1066" t="s">
        <v>190</v>
      </c>
      <c r="I1355" s="1066" t="s">
        <v>190</v>
      </c>
      <c r="J1355" s="1095" t="s">
        <v>1185</v>
      </c>
      <c r="K1355" s="1072" t="s">
        <v>995</v>
      </c>
      <c r="L1355" s="1066" t="s">
        <v>190</v>
      </c>
      <c r="M1355" s="1066" t="s">
        <v>190</v>
      </c>
      <c r="N1355" s="1066" t="s">
        <v>190</v>
      </c>
      <c r="O1355" s="1142">
        <v>44598</v>
      </c>
      <c r="P1355" s="1142">
        <v>45328</v>
      </c>
      <c r="Q1355" s="1072" t="s">
        <v>318</v>
      </c>
      <c r="R1355" s="1176">
        <v>28140</v>
      </c>
      <c r="S1355" s="1072" t="s">
        <v>1359</v>
      </c>
      <c r="T1355" s="1066" t="s">
        <v>190</v>
      </c>
      <c r="U1355" s="1066" t="s">
        <v>190</v>
      </c>
      <c r="V1355" s="1066"/>
      <c r="W1355" s="1072" t="s">
        <v>1036</v>
      </c>
      <c r="X1355" s="1116" t="s">
        <v>1346</v>
      </c>
      <c r="Y1355" s="1116" t="s">
        <v>1266</v>
      </c>
      <c r="Z1355" s="1068" t="s">
        <v>190</v>
      </c>
      <c r="AA1355" s="1068" t="s">
        <v>190</v>
      </c>
      <c r="AB1355" s="1068" t="s">
        <v>190</v>
      </c>
      <c r="AC1355" s="694" t="s">
        <v>4329</v>
      </c>
      <c r="AD1355" s="1068" t="s">
        <v>190</v>
      </c>
      <c r="AE1355" s="1193">
        <v>28140</v>
      </c>
    </row>
    <row r="1356" spans="1:32" ht="43.2">
      <c r="A1356" s="888"/>
      <c r="B1356" s="1351" t="s">
        <v>28</v>
      </c>
      <c r="C1356" s="4" t="s">
        <v>1125</v>
      </c>
      <c r="D1356" s="9" t="s">
        <v>29</v>
      </c>
      <c r="E1356" s="9"/>
      <c r="F1356" s="9"/>
      <c r="G1356" s="9"/>
      <c r="H1356" s="5" t="s">
        <v>70</v>
      </c>
      <c r="I1356" s="5" t="s">
        <v>64</v>
      </c>
      <c r="J1356" s="1339" t="s">
        <v>1126</v>
      </c>
      <c r="K1356" s="1339"/>
      <c r="L1356" s="5">
        <v>6</v>
      </c>
      <c r="M1356" s="193">
        <f>IFERROR(EDATE($N1356,-3),"Invalid procurement method or date entered")</f>
        <v>44326</v>
      </c>
      <c r="N1356" s="193">
        <f>IFERROR(EDATE(O1356,-L1356),"Invalid procurement method or date entered")</f>
        <v>44418</v>
      </c>
      <c r="O1356" s="1329">
        <v>44602</v>
      </c>
      <c r="P1356" s="1330">
        <v>36</v>
      </c>
      <c r="Q1356" s="5" t="s">
        <v>1307</v>
      </c>
      <c r="R1356" s="18">
        <v>90305</v>
      </c>
      <c r="S1356" s="5" t="s">
        <v>66</v>
      </c>
      <c r="T1356" s="47" t="s">
        <v>36</v>
      </c>
      <c r="U1356" s="45" t="s">
        <v>43</v>
      </c>
      <c r="V1356" s="45"/>
      <c r="W1356" s="5" t="s">
        <v>588</v>
      </c>
      <c r="X1356" s="1356" t="s">
        <v>1088</v>
      </c>
      <c r="Y1356" s="74" t="s">
        <v>457</v>
      </c>
      <c r="Z1356" s="74" t="s">
        <v>95</v>
      </c>
      <c r="AA1356" s="74" t="s">
        <v>41</v>
      </c>
      <c r="AB1356" s="316" t="s">
        <v>1263</v>
      </c>
      <c r="AC1356" s="1341" t="s">
        <v>2813</v>
      </c>
      <c r="AD1356" s="74" t="s">
        <v>74</v>
      </c>
      <c r="AE1356" s="306"/>
    </row>
    <row r="1357" spans="1:32" ht="15.6">
      <c r="A1357" s="1061">
        <v>44974</v>
      </c>
      <c r="B1357" s="1066" t="s">
        <v>210</v>
      </c>
      <c r="C1357" s="1072">
        <v>29030</v>
      </c>
      <c r="D1357" s="1072" t="s">
        <v>209</v>
      </c>
      <c r="E1357" s="1066" t="s">
        <v>210</v>
      </c>
      <c r="F1357" s="1066" t="s">
        <v>190</v>
      </c>
      <c r="G1357" s="1066" t="s">
        <v>190</v>
      </c>
      <c r="H1357" s="1066" t="s">
        <v>190</v>
      </c>
      <c r="I1357" s="1066" t="s">
        <v>190</v>
      </c>
      <c r="J1357" s="1095" t="s">
        <v>4330</v>
      </c>
      <c r="K1357" s="1072" t="s">
        <v>4135</v>
      </c>
      <c r="L1357" s="1066" t="s">
        <v>190</v>
      </c>
      <c r="M1357" s="1066" t="s">
        <v>190</v>
      </c>
      <c r="N1357" s="1066" t="s">
        <v>190</v>
      </c>
      <c r="O1357" s="1142">
        <v>44609</v>
      </c>
      <c r="P1357" s="1142">
        <v>44974</v>
      </c>
      <c r="Q1357" s="1072" t="s">
        <v>100</v>
      </c>
      <c r="R1357" s="1176">
        <v>24819</v>
      </c>
      <c r="S1357" s="1072" t="s">
        <v>158</v>
      </c>
      <c r="T1357" s="1066" t="s">
        <v>190</v>
      </c>
      <c r="U1357" s="1066" t="s">
        <v>190</v>
      </c>
      <c r="V1357" s="1066"/>
      <c r="W1357" s="1072" t="s">
        <v>1169</v>
      </c>
      <c r="X1357" s="1116" t="s">
        <v>1346</v>
      </c>
      <c r="Y1357" s="1116" t="s">
        <v>1266</v>
      </c>
      <c r="Z1357" s="1068" t="s">
        <v>190</v>
      </c>
      <c r="AA1357" s="1068" t="s">
        <v>190</v>
      </c>
      <c r="AB1357" s="1068" t="s">
        <v>190</v>
      </c>
      <c r="AC1357" s="694" t="s">
        <v>4331</v>
      </c>
      <c r="AD1357" s="1068" t="s">
        <v>190</v>
      </c>
      <c r="AE1357" s="1193">
        <v>24819</v>
      </c>
    </row>
    <row r="1358" spans="1:32" ht="43.2">
      <c r="A1358" s="1364"/>
      <c r="B1358" s="1351" t="s">
        <v>28</v>
      </c>
      <c r="C1358" s="4" t="s">
        <v>35</v>
      </c>
      <c r="D1358" s="9" t="s">
        <v>29</v>
      </c>
      <c r="E1358" s="9"/>
      <c r="F1358" s="9"/>
      <c r="G1358" s="9"/>
      <c r="H1358" s="5" t="s">
        <v>70</v>
      </c>
      <c r="I1358" s="5" t="s">
        <v>34</v>
      </c>
      <c r="J1358" s="1035" t="s">
        <v>1197</v>
      </c>
      <c r="K1358" s="61"/>
      <c r="L1358" s="5">
        <v>6</v>
      </c>
      <c r="M1358" s="193">
        <f>IFERROR(EDATE($N1358,-3),"Invalid procurement method or date entered")</f>
        <v>44339</v>
      </c>
      <c r="N1358" s="193">
        <f>IFERROR(EDATE(O1358,-L1358),"Invalid procurement method or date entered")</f>
        <v>44431</v>
      </c>
      <c r="O1358" s="176">
        <v>44615</v>
      </c>
      <c r="P1358" s="12">
        <v>12</v>
      </c>
      <c r="Q1358" s="12">
        <v>12</v>
      </c>
      <c r="R1358" s="18">
        <v>15000</v>
      </c>
      <c r="S1358" s="5" t="s">
        <v>909</v>
      </c>
      <c r="T1358" s="49" t="s">
        <v>54</v>
      </c>
      <c r="U1358" s="45" t="s">
        <v>37</v>
      </c>
      <c r="V1358" s="45"/>
      <c r="W1358" s="12" t="s">
        <v>301</v>
      </c>
      <c r="X1358" s="74" t="s">
        <v>73</v>
      </c>
      <c r="Y1358" s="74" t="s">
        <v>457</v>
      </c>
      <c r="Z1358" s="74" t="s">
        <v>95</v>
      </c>
      <c r="AA1358" s="74" t="s">
        <v>41</v>
      </c>
      <c r="AB1358" s="316" t="s">
        <v>1245</v>
      </c>
      <c r="AC1358" s="847" t="s">
        <v>4332</v>
      </c>
      <c r="AD1358" s="74" t="s">
        <v>141</v>
      </c>
      <c r="AE1358" s="204">
        <v>15000</v>
      </c>
    </row>
    <row r="1359" spans="1:32" ht="43.2">
      <c r="A1359" s="1363"/>
      <c r="B1359" s="1347"/>
      <c r="C1359" s="4" t="s">
        <v>35</v>
      </c>
      <c r="D1359" s="9" t="s">
        <v>29</v>
      </c>
      <c r="E1359" s="9"/>
      <c r="F1359" s="9"/>
      <c r="G1359" s="9"/>
      <c r="H1359" s="5" t="s">
        <v>70</v>
      </c>
      <c r="I1359" s="5" t="s">
        <v>34</v>
      </c>
      <c r="J1359" s="1035" t="s">
        <v>1212</v>
      </c>
      <c r="K1359" s="61"/>
      <c r="L1359" s="5">
        <v>3</v>
      </c>
      <c r="M1359" s="193">
        <f>IFERROR(EDATE($N1359,-3),"Invalid procurement method or date entered")</f>
        <v>44440</v>
      </c>
      <c r="N1359" s="193">
        <f>IFERROR(EDATE(O1359,-L1359),"Invalid procurement method or date entered")</f>
        <v>44531</v>
      </c>
      <c r="O1359" s="176">
        <v>44621</v>
      </c>
      <c r="P1359" s="12">
        <v>12</v>
      </c>
      <c r="Q1359" s="12">
        <v>12</v>
      </c>
      <c r="R1359" s="18">
        <v>5000</v>
      </c>
      <c r="S1359" s="5" t="s">
        <v>909</v>
      </c>
      <c r="T1359" s="49" t="s">
        <v>54</v>
      </c>
      <c r="U1359" s="45" t="s">
        <v>37</v>
      </c>
      <c r="V1359" s="45"/>
      <c r="W1359" s="12" t="s">
        <v>301</v>
      </c>
      <c r="X1359" s="819" t="s">
        <v>73</v>
      </c>
      <c r="Y1359" s="74" t="s">
        <v>1283</v>
      </c>
      <c r="Z1359" s="74" t="s">
        <v>95</v>
      </c>
      <c r="AA1359" s="74" t="s">
        <v>41</v>
      </c>
      <c r="AB1359" s="316" t="s">
        <v>1263</v>
      </c>
      <c r="AC1359" s="847"/>
      <c r="AD1359" s="74" t="s">
        <v>141</v>
      </c>
      <c r="AE1359" s="867"/>
    </row>
    <row r="1360" spans="1:32" ht="43.2">
      <c r="A1360" s="1363"/>
      <c r="B1360" s="1351" t="s">
        <v>28</v>
      </c>
      <c r="C1360" s="1351" t="s">
        <v>35</v>
      </c>
      <c r="D1360" s="9" t="s">
        <v>29</v>
      </c>
      <c r="E1360" s="9"/>
      <c r="F1360" s="9"/>
      <c r="G1360" s="9"/>
      <c r="H1360" s="5" t="s">
        <v>176</v>
      </c>
      <c r="I1360" s="5" t="s">
        <v>34</v>
      </c>
      <c r="J1360" s="16" t="s">
        <v>1228</v>
      </c>
      <c r="K1360" s="8"/>
      <c r="L1360" s="5">
        <v>1</v>
      </c>
      <c r="M1360" s="193">
        <v>44624</v>
      </c>
      <c r="N1360" s="193">
        <f>IFERROR(EDATE(O1360,-L1360),"Invalid procurement method or date entered")</f>
        <v>44593</v>
      </c>
      <c r="O1360" s="193">
        <v>44621</v>
      </c>
      <c r="P1360" s="5">
        <v>12</v>
      </c>
      <c r="Q1360" s="5">
        <v>12</v>
      </c>
      <c r="R1360" s="18">
        <v>27243</v>
      </c>
      <c r="S1360" s="5" t="s">
        <v>217</v>
      </c>
      <c r="T1360" s="5" t="s">
        <v>54</v>
      </c>
      <c r="U1360" s="12" t="s">
        <v>37</v>
      </c>
      <c r="V1360" s="12"/>
      <c r="W1360" s="5" t="s">
        <v>384</v>
      </c>
      <c r="X1360" s="74" t="s">
        <v>219</v>
      </c>
      <c r="Y1360" s="74" t="s">
        <v>39</v>
      </c>
      <c r="Z1360" s="74" t="s">
        <v>95</v>
      </c>
      <c r="AA1360" s="74" t="s">
        <v>54</v>
      </c>
      <c r="AB1360" s="316" t="s">
        <v>1245</v>
      </c>
      <c r="AC1360" s="95" t="s">
        <v>3140</v>
      </c>
      <c r="AD1360" s="70" t="s">
        <v>450</v>
      </c>
      <c r="AE1360" s="306"/>
    </row>
    <row r="1361" spans="1:32" ht="28.8">
      <c r="A1361" s="899"/>
      <c r="B1361" s="194" t="s">
        <v>145</v>
      </c>
      <c r="C1361" s="342" t="s">
        <v>35</v>
      </c>
      <c r="D1361" s="1013" t="s">
        <v>29</v>
      </c>
      <c r="E1361" s="1013"/>
      <c r="F1361" s="1013"/>
      <c r="G1361" s="1013"/>
      <c r="H1361" s="16" t="s">
        <v>148</v>
      </c>
      <c r="I1361" s="16" t="s">
        <v>50</v>
      </c>
      <c r="J1361" s="16" t="s">
        <v>4333</v>
      </c>
      <c r="K1361" s="8"/>
      <c r="L1361" s="5">
        <v>3</v>
      </c>
      <c r="M1361" s="193">
        <f>IFERROR(EDATE(N1361,-3),"Invalid procurement method or date entered")</f>
        <v>44440</v>
      </c>
      <c r="N1361" s="143">
        <f>IFERROR(EDATE(O1361,-L1361),"Invalid procurement method or date entered")</f>
        <v>44531</v>
      </c>
      <c r="O1361" s="328">
        <v>44621</v>
      </c>
      <c r="P1361" s="329">
        <v>6</v>
      </c>
      <c r="Q1361" s="329">
        <v>6</v>
      </c>
      <c r="R1361" s="1014">
        <v>325000</v>
      </c>
      <c r="S1361" s="1014" t="s">
        <v>53</v>
      </c>
      <c r="T1361" s="1015" t="s">
        <v>54</v>
      </c>
      <c r="U1361" s="1015" t="s">
        <v>43</v>
      </c>
      <c r="V1361" s="1015"/>
      <c r="W1361" s="8" t="s">
        <v>512</v>
      </c>
      <c r="X1361" s="1016" t="s">
        <v>1088</v>
      </c>
      <c r="Y1361" s="105" t="s">
        <v>457</v>
      </c>
      <c r="Z1361" s="105"/>
      <c r="AA1361" s="1016" t="s">
        <v>40</v>
      </c>
      <c r="AB1361" s="1017" t="s">
        <v>41</v>
      </c>
      <c r="AC1361" s="447">
        <v>44722</v>
      </c>
      <c r="AD1361" s="447"/>
      <c r="AE1361" s="447"/>
    </row>
    <row r="1362" spans="1:32" ht="124.2">
      <c r="A1362" s="1063" t="s">
        <v>43</v>
      </c>
      <c r="B1362" s="910" t="s">
        <v>145</v>
      </c>
      <c r="C1362" s="910" t="s">
        <v>3460</v>
      </c>
      <c r="D1362" s="908" t="s">
        <v>92</v>
      </c>
      <c r="E1362" s="908"/>
      <c r="F1362" s="908"/>
      <c r="G1362" s="908"/>
      <c r="H1362" s="906" t="s">
        <v>148</v>
      </c>
      <c r="I1362" s="906" t="s">
        <v>64</v>
      </c>
      <c r="J1362" s="1053" t="s">
        <v>1230</v>
      </c>
      <c r="K1362" s="627"/>
      <c r="L1362" s="628">
        <v>3</v>
      </c>
      <c r="M1362" s="907">
        <f>IFERROR(EDATE(N1362,-3),"Invalid procurement method or date entered")</f>
        <v>44440</v>
      </c>
      <c r="N1362" s="911">
        <f>IFERROR(EDATE(O1362,-L1362),"Invalid procurement method or date entered")</f>
        <v>44531</v>
      </c>
      <c r="O1362" s="912">
        <v>44621</v>
      </c>
      <c r="P1362" s="914">
        <v>60</v>
      </c>
      <c r="Q1362" s="913" t="s">
        <v>358</v>
      </c>
      <c r="R1362" s="1187">
        <v>30000</v>
      </c>
      <c r="S1362" s="915" t="s">
        <v>217</v>
      </c>
      <c r="T1362" s="908" t="s">
        <v>54</v>
      </c>
      <c r="U1362" s="908" t="s">
        <v>43</v>
      </c>
      <c r="V1362" s="908"/>
      <c r="W1362" s="906" t="s">
        <v>606</v>
      </c>
      <c r="X1362" s="1223" t="s">
        <v>1119</v>
      </c>
      <c r="Y1362" s="1223" t="s">
        <v>457</v>
      </c>
      <c r="Z1362" s="1223" t="s">
        <v>40</v>
      </c>
      <c r="AA1362" s="1230" t="s">
        <v>41</v>
      </c>
      <c r="AB1362" s="1238">
        <v>44691</v>
      </c>
      <c r="AC1362" s="1219" t="s">
        <v>4334</v>
      </c>
      <c r="AD1362" s="1223"/>
      <c r="AE1362" s="1223"/>
      <c r="AF1362" s="909"/>
    </row>
    <row r="1363" spans="1:32" ht="151.80000000000001">
      <c r="A1363" s="695"/>
      <c r="B1363" s="634" t="s">
        <v>48</v>
      </c>
      <c r="C1363" s="634" t="s">
        <v>125</v>
      </c>
      <c r="D1363" s="638" t="s">
        <v>991</v>
      </c>
      <c r="E1363" s="638"/>
      <c r="F1363" s="638"/>
      <c r="G1363" s="638"/>
      <c r="H1363" s="636" t="s">
        <v>127</v>
      </c>
      <c r="I1363" s="627" t="s">
        <v>34</v>
      </c>
      <c r="J1363" s="1047" t="s">
        <v>4335</v>
      </c>
      <c r="K1363" s="637"/>
      <c r="L1363" s="638">
        <v>12</v>
      </c>
      <c r="M1363" s="639">
        <f>IF(O1363="tbc","",(IFERROR(EDATE($N1363,-3),"Invalid procurement method or date entered")))</f>
        <v>44166</v>
      </c>
      <c r="N1363" s="630">
        <f>IF(O1363="tbc","",(IFERROR(EDATE(O1363,-L1363),"Invalid procurement method or date entered")))</f>
        <v>44256</v>
      </c>
      <c r="O1363" s="647">
        <v>44621</v>
      </c>
      <c r="P1363" s="687">
        <v>24</v>
      </c>
      <c r="Q1363" s="687" t="s">
        <v>366</v>
      </c>
      <c r="R1363" s="780">
        <f>2*200000</f>
        <v>400000</v>
      </c>
      <c r="S1363" s="629" t="s">
        <v>98</v>
      </c>
      <c r="T1363" s="629" t="s">
        <v>100</v>
      </c>
      <c r="U1363" s="629" t="s">
        <v>100</v>
      </c>
      <c r="V1363" s="629"/>
      <c r="W1363" s="636" t="s">
        <v>485</v>
      </c>
      <c r="X1363" s="698" t="s">
        <v>58</v>
      </c>
      <c r="Y1363" s="688" t="s">
        <v>39</v>
      </c>
      <c r="Z1363" s="1226" t="s">
        <v>95</v>
      </c>
      <c r="AA1363" s="686" t="s">
        <v>41</v>
      </c>
      <c r="AB1363" s="1234">
        <v>44854</v>
      </c>
      <c r="AC1363" s="996" t="s">
        <v>4336</v>
      </c>
      <c r="AD1363" s="700"/>
      <c r="AE1363" s="700"/>
      <c r="AF1363" s="691"/>
    </row>
    <row r="1364" spans="1:32" ht="41.4">
      <c r="A1364" s="1061">
        <v>44974</v>
      </c>
      <c r="B1364" s="1066" t="s">
        <v>210</v>
      </c>
      <c r="C1364" s="1072" t="s">
        <v>4337</v>
      </c>
      <c r="D1364" s="1072" t="s">
        <v>319</v>
      </c>
      <c r="E1364" s="1066" t="s">
        <v>210</v>
      </c>
      <c r="F1364" s="1066" t="s">
        <v>190</v>
      </c>
      <c r="G1364" s="1066" t="s">
        <v>190</v>
      </c>
      <c r="H1364" s="1066" t="s">
        <v>190</v>
      </c>
      <c r="I1364" s="1066" t="s">
        <v>190</v>
      </c>
      <c r="J1364" s="1106" t="s">
        <v>320</v>
      </c>
      <c r="K1364" s="1072" t="s">
        <v>321</v>
      </c>
      <c r="L1364" s="1066" t="s">
        <v>190</v>
      </c>
      <c r="M1364" s="1066" t="s">
        <v>190</v>
      </c>
      <c r="N1364" s="1066" t="s">
        <v>190</v>
      </c>
      <c r="O1364" s="1142">
        <v>44621</v>
      </c>
      <c r="P1364" s="1142">
        <v>45382</v>
      </c>
      <c r="Q1364" s="1142">
        <v>45747</v>
      </c>
      <c r="R1364" s="1176">
        <v>97500</v>
      </c>
      <c r="S1364" s="1072" t="s">
        <v>4338</v>
      </c>
      <c r="T1364" s="1066" t="s">
        <v>190</v>
      </c>
      <c r="U1364" s="1066" t="s">
        <v>190</v>
      </c>
      <c r="V1364" s="1066"/>
      <c r="W1364" s="1072" t="s">
        <v>322</v>
      </c>
      <c r="X1364" s="1116" t="s">
        <v>1346</v>
      </c>
      <c r="Y1364" s="1116" t="s">
        <v>1266</v>
      </c>
      <c r="Z1364" s="1068" t="s">
        <v>190</v>
      </c>
      <c r="AA1364" s="1068" t="s">
        <v>190</v>
      </c>
      <c r="AB1364" s="1068" t="s">
        <v>190</v>
      </c>
      <c r="AC1364" s="694" t="s">
        <v>323</v>
      </c>
      <c r="AD1364" s="1068" t="s">
        <v>190</v>
      </c>
      <c r="AE1364" s="1193">
        <v>97500</v>
      </c>
    </row>
    <row r="1365" spans="1:32" ht="15.6">
      <c r="A1365" s="1061">
        <v>44974</v>
      </c>
      <c r="B1365" s="1066" t="s">
        <v>210</v>
      </c>
      <c r="C1365" s="1072">
        <v>47630</v>
      </c>
      <c r="D1365" s="1072" t="s">
        <v>2856</v>
      </c>
      <c r="E1365" s="1066" t="s">
        <v>210</v>
      </c>
      <c r="F1365" s="1066" t="s">
        <v>190</v>
      </c>
      <c r="G1365" s="1066" t="s">
        <v>190</v>
      </c>
      <c r="H1365" s="1066" t="s">
        <v>190</v>
      </c>
      <c r="I1365" s="1066" t="s">
        <v>190</v>
      </c>
      <c r="J1365" s="1095" t="s">
        <v>1183</v>
      </c>
      <c r="K1365" s="1072" t="s">
        <v>524</v>
      </c>
      <c r="L1365" s="1066" t="s">
        <v>190</v>
      </c>
      <c r="M1365" s="1066" t="s">
        <v>190</v>
      </c>
      <c r="N1365" s="1066" t="s">
        <v>190</v>
      </c>
      <c r="O1365" s="1142">
        <v>44621</v>
      </c>
      <c r="P1365" s="1142">
        <v>45351</v>
      </c>
      <c r="Q1365" s="1142">
        <v>45716</v>
      </c>
      <c r="R1365" s="1176">
        <v>30000</v>
      </c>
      <c r="S1365" s="1072" t="s">
        <v>4339</v>
      </c>
      <c r="T1365" s="1066" t="s">
        <v>190</v>
      </c>
      <c r="U1365" s="1066" t="s">
        <v>190</v>
      </c>
      <c r="V1365" s="1066"/>
      <c r="W1365" s="1072" t="s">
        <v>1184</v>
      </c>
      <c r="X1365" s="1116" t="s">
        <v>1346</v>
      </c>
      <c r="Y1365" s="1116" t="s">
        <v>1266</v>
      </c>
      <c r="Z1365" s="1068" t="s">
        <v>190</v>
      </c>
      <c r="AA1365" s="1068" t="s">
        <v>190</v>
      </c>
      <c r="AB1365" s="1068" t="s">
        <v>190</v>
      </c>
      <c r="AC1365" s="694" t="s">
        <v>4340</v>
      </c>
      <c r="AD1365" s="1068" t="s">
        <v>190</v>
      </c>
      <c r="AE1365" s="1193">
        <v>30000</v>
      </c>
    </row>
    <row r="1366" spans="1:32" ht="86.4">
      <c r="A1366" s="1363"/>
      <c r="B1366" s="1351" t="s">
        <v>28</v>
      </c>
      <c r="C1366" s="4" t="s">
        <v>3339</v>
      </c>
      <c r="D1366" s="9" t="s">
        <v>29</v>
      </c>
      <c r="E1366" s="9"/>
      <c r="F1366" s="9"/>
      <c r="G1366" s="9"/>
      <c r="H1366" s="9" t="s">
        <v>70</v>
      </c>
      <c r="I1366" s="5" t="s">
        <v>64</v>
      </c>
      <c r="J1366" s="16" t="s">
        <v>4341</v>
      </c>
      <c r="K1366" s="16"/>
      <c r="L1366" s="5">
        <v>6</v>
      </c>
      <c r="M1366" s="193">
        <f>IFERROR(EDATE($N1366,-3),"Invalid procurement method or date entered")</f>
        <v>44358</v>
      </c>
      <c r="N1366" s="193">
        <f>IFERROR(EDATE(O1366,-L1366),"Invalid procurement method or date entered")</f>
        <v>44450</v>
      </c>
      <c r="O1366" s="46">
        <v>44631</v>
      </c>
      <c r="P1366" s="1330">
        <v>60</v>
      </c>
      <c r="Q1366" s="291" t="s">
        <v>358</v>
      </c>
      <c r="R1366" s="18">
        <v>222250</v>
      </c>
      <c r="S1366" s="177" t="s">
        <v>66</v>
      </c>
      <c r="T1366" s="49" t="s">
        <v>36</v>
      </c>
      <c r="U1366" s="45" t="s">
        <v>37</v>
      </c>
      <c r="V1366" s="45"/>
      <c r="W1366" s="9" t="s">
        <v>4342</v>
      </c>
      <c r="X1366" s="74" t="s">
        <v>1088</v>
      </c>
      <c r="Y1366" s="74" t="s">
        <v>457</v>
      </c>
      <c r="Z1366" s="74" t="s">
        <v>1102</v>
      </c>
      <c r="AA1366" s="74" t="s">
        <v>41</v>
      </c>
      <c r="AB1366" s="316" t="s">
        <v>1245</v>
      </c>
      <c r="AC1366" s="747" t="s">
        <v>4343</v>
      </c>
      <c r="AD1366" s="74" t="s">
        <v>85</v>
      </c>
      <c r="AE1366" s="204"/>
    </row>
    <row r="1367" spans="1:32" ht="158.4">
      <c r="A1367" s="1364"/>
      <c r="B1367" s="1351" t="s">
        <v>28</v>
      </c>
      <c r="C1367" s="1351">
        <v>49859</v>
      </c>
      <c r="D1367" s="5" t="s">
        <v>29</v>
      </c>
      <c r="E1367" s="5"/>
      <c r="F1367" s="5"/>
      <c r="G1367" s="5"/>
      <c r="H1367" s="5" t="s">
        <v>628</v>
      </c>
      <c r="I1367" s="5" t="s">
        <v>34</v>
      </c>
      <c r="J1367" s="16" t="s">
        <v>629</v>
      </c>
      <c r="K1367" s="16"/>
      <c r="L1367" s="5" t="e">
        <f>IF(OR(S1367=#REF!,S1367=#REF!,S1367=#REF!,S1367=#REF!,S1367=#REF!,S1367=#REF!,S1367=#REF!,S1367=#REF!),12,IF(OR(S1367=#REF!,S1367=#REF!,S1367=#REF!,S1367=#REF!,S1367=#REF!,S1367=#REF!,S1367=#REF!),3,IF(S1367=#REF!,1,IF(S1367=#REF!,18,IF(OR(S1367=#REF!,S1367=#REF!,S1367=#REF!,S1367=#REF!,S1367=#REF!),14,"Invalid proposed procurement method")))))</f>
        <v>#REF!</v>
      </c>
      <c r="M1367" s="193" t="str">
        <f>IFERROR(EDATE($N1367,-3),"Invalid procurement method or date entered")</f>
        <v>Invalid procurement method or date entered</v>
      </c>
      <c r="N1367" s="193" t="str">
        <f>IFERROR(EDATE(O1367,-L1367),"Invalid procurement method or date entered")</f>
        <v>Invalid procurement method or date entered</v>
      </c>
      <c r="O1367" s="14">
        <v>44634</v>
      </c>
      <c r="P1367" s="5">
        <v>36</v>
      </c>
      <c r="Q1367" s="5" t="s">
        <v>236</v>
      </c>
      <c r="R1367" s="18">
        <v>784000</v>
      </c>
      <c r="S1367" s="5" t="s">
        <v>109</v>
      </c>
      <c r="T1367" s="50" t="s">
        <v>41</v>
      </c>
      <c r="U1367" s="50">
        <v>44614</v>
      </c>
      <c r="V1367" s="50"/>
      <c r="W1367" s="5" t="s">
        <v>631</v>
      </c>
      <c r="X1367" s="74" t="s">
        <v>1101</v>
      </c>
      <c r="Y1367" s="74" t="s">
        <v>457</v>
      </c>
      <c r="Z1367" s="74" t="s">
        <v>40</v>
      </c>
      <c r="AA1367" s="74" t="s">
        <v>41</v>
      </c>
      <c r="AB1367" s="316" t="s">
        <v>1245</v>
      </c>
      <c r="AC1367" s="95" t="s">
        <v>4344</v>
      </c>
      <c r="AD1367" s="74" t="s">
        <v>42</v>
      </c>
      <c r="AE1367" s="306" t="s">
        <v>35</v>
      </c>
    </row>
    <row r="1368" spans="1:32" ht="28.8">
      <c r="A1368" s="888"/>
      <c r="B1368" s="1351" t="s">
        <v>28</v>
      </c>
      <c r="C1368" s="4">
        <v>29039</v>
      </c>
      <c r="D1368" s="5" t="s">
        <v>60</v>
      </c>
      <c r="E1368" s="5"/>
      <c r="F1368" s="5"/>
      <c r="G1368" s="5"/>
      <c r="H1368" s="5" t="s">
        <v>311</v>
      </c>
      <c r="I1368" s="5" t="s">
        <v>34</v>
      </c>
      <c r="J1368" s="16" t="s">
        <v>502</v>
      </c>
      <c r="K1368" s="16"/>
      <c r="L1368" s="5" t="e">
        <f>IF(OR(S1368=#REF!,S1368=#REF!,S1368=#REF!,S1368=#REF!,S1368=#REF!,S1368=#REF!,S1368=#REF!,S1368=#REF!),12,IF(OR(S1368=#REF!,S1368=#REF!,S1368=#REF!,S1368=#REF!,S1368=#REF!,S1368=#REF!,S1368=#REF!),3,IF(S1368=#REF!,1,IF(S1368=#REF!,18,IF(OR(S1368=#REF!,S1368=#REF!,S1368=#REF!,S1368=#REF!,S1368=#REF!),14,"Invalid proposed procurement method")))))</f>
        <v>#REF!</v>
      </c>
      <c r="M1368" s="193">
        <v>44425</v>
      </c>
      <c r="N1368" s="193">
        <v>44425</v>
      </c>
      <c r="O1368" s="176">
        <v>44634</v>
      </c>
      <c r="P1368" s="66">
        <v>36</v>
      </c>
      <c r="Q1368" s="66" t="s">
        <v>236</v>
      </c>
      <c r="R1368" s="1366">
        <v>300000</v>
      </c>
      <c r="S1368" s="5" t="s">
        <v>109</v>
      </c>
      <c r="T1368" s="39" t="s">
        <v>41</v>
      </c>
      <c r="U1368" s="176">
        <v>44537</v>
      </c>
      <c r="V1368" s="176"/>
      <c r="W1368" s="12" t="s">
        <v>174</v>
      </c>
      <c r="X1368" s="74" t="s">
        <v>90</v>
      </c>
      <c r="Y1368" s="74" t="s">
        <v>457</v>
      </c>
      <c r="Z1368" s="74"/>
      <c r="AA1368" s="74" t="s">
        <v>54</v>
      </c>
      <c r="AB1368" s="316" t="s">
        <v>1245</v>
      </c>
      <c r="AC1368" s="95" t="s">
        <v>1296</v>
      </c>
      <c r="AD1368" s="74" t="s">
        <v>313</v>
      </c>
      <c r="AE1368" s="1367">
        <v>200000</v>
      </c>
    </row>
    <row r="1369" spans="1:32" ht="15.6">
      <c r="A1369" s="1061">
        <v>44974</v>
      </c>
      <c r="B1369" s="1066" t="s">
        <v>210</v>
      </c>
      <c r="C1369" s="1072">
        <v>47197</v>
      </c>
      <c r="D1369" s="1072" t="s">
        <v>1034</v>
      </c>
      <c r="E1369" s="1066" t="s">
        <v>210</v>
      </c>
      <c r="F1369" s="1066" t="s">
        <v>190</v>
      </c>
      <c r="G1369" s="1066" t="s">
        <v>190</v>
      </c>
      <c r="H1369" s="1066" t="s">
        <v>190</v>
      </c>
      <c r="I1369" s="1066" t="s">
        <v>190</v>
      </c>
      <c r="J1369" s="1095" t="s">
        <v>4345</v>
      </c>
      <c r="K1369" s="1072" t="s">
        <v>4346</v>
      </c>
      <c r="L1369" s="1066" t="s">
        <v>190</v>
      </c>
      <c r="M1369" s="1066" t="s">
        <v>190</v>
      </c>
      <c r="N1369" s="1066" t="s">
        <v>190</v>
      </c>
      <c r="O1369" s="1142">
        <v>44634</v>
      </c>
      <c r="P1369" s="1142">
        <v>44817</v>
      </c>
      <c r="Q1369" s="1072" t="s">
        <v>100</v>
      </c>
      <c r="R1369" s="1176">
        <v>27360</v>
      </c>
      <c r="S1369" s="1072" t="s">
        <v>4347</v>
      </c>
      <c r="T1369" s="1066" t="s">
        <v>190</v>
      </c>
      <c r="U1369" s="1066" t="s">
        <v>190</v>
      </c>
      <c r="V1369" s="1066"/>
      <c r="W1369" s="1072" t="s">
        <v>4348</v>
      </c>
      <c r="X1369" s="1116" t="s">
        <v>1346</v>
      </c>
      <c r="Y1369" s="1116" t="s">
        <v>1266</v>
      </c>
      <c r="Z1369" s="1068" t="s">
        <v>190</v>
      </c>
      <c r="AA1369" s="1068" t="s">
        <v>190</v>
      </c>
      <c r="AB1369" s="1068" t="s">
        <v>190</v>
      </c>
      <c r="AC1369" s="694" t="s">
        <v>4349</v>
      </c>
      <c r="AD1369" s="1068" t="s">
        <v>190</v>
      </c>
      <c r="AE1369" s="1193">
        <v>27360</v>
      </c>
    </row>
    <row r="1370" spans="1:32" ht="43.2">
      <c r="A1370" s="1363"/>
      <c r="B1370" s="1351" t="s">
        <v>28</v>
      </c>
      <c r="C1370" s="4" t="s">
        <v>664</v>
      </c>
      <c r="D1370" s="5" t="s">
        <v>29</v>
      </c>
      <c r="E1370" s="5"/>
      <c r="F1370" s="5"/>
      <c r="G1370" s="5"/>
      <c r="H1370" s="5" t="s">
        <v>260</v>
      </c>
      <c r="I1370" s="5" t="s">
        <v>64</v>
      </c>
      <c r="J1370" s="16" t="s">
        <v>665</v>
      </c>
      <c r="K1370" s="16"/>
      <c r="L1370" s="5">
        <v>6</v>
      </c>
      <c r="M1370" s="193">
        <v>44405</v>
      </c>
      <c r="N1370" s="193">
        <f>IFERROR(EDATE(O1370,-L1370),"Invalid procurement method or date entered")</f>
        <v>44469</v>
      </c>
      <c r="O1370" s="14">
        <v>44651</v>
      </c>
      <c r="P1370" s="12">
        <v>34</v>
      </c>
      <c r="Q1370" s="5" t="s">
        <v>4350</v>
      </c>
      <c r="R1370" s="18">
        <v>1000000</v>
      </c>
      <c r="S1370" s="5" t="s">
        <v>66</v>
      </c>
      <c r="T1370" s="50" t="s">
        <v>54</v>
      </c>
      <c r="U1370" s="50" t="s">
        <v>37</v>
      </c>
      <c r="V1370" s="50"/>
      <c r="W1370" s="5" t="s">
        <v>343</v>
      </c>
      <c r="X1370" s="74" t="s">
        <v>1088</v>
      </c>
      <c r="Y1370" s="74" t="s">
        <v>457</v>
      </c>
      <c r="Z1370" s="74" t="s">
        <v>40</v>
      </c>
      <c r="AA1370" s="74" t="s">
        <v>54</v>
      </c>
      <c r="AB1370" s="316" t="s">
        <v>1245</v>
      </c>
      <c r="AC1370" s="95" t="s">
        <v>4351</v>
      </c>
      <c r="AD1370" s="70" t="s">
        <v>63</v>
      </c>
      <c r="AE1370" s="204">
        <v>350000</v>
      </c>
    </row>
    <row r="1371" spans="1:32" ht="43.2">
      <c r="A1371" s="888"/>
      <c r="B1371" s="4" t="s">
        <v>28</v>
      </c>
      <c r="C1371" s="1362" t="s">
        <v>4352</v>
      </c>
      <c r="D1371" s="8" t="s">
        <v>29</v>
      </c>
      <c r="E1371" s="8"/>
      <c r="F1371" s="8"/>
      <c r="G1371" s="8"/>
      <c r="H1371" s="5" t="s">
        <v>4353</v>
      </c>
      <c r="I1371" s="5" t="s">
        <v>34</v>
      </c>
      <c r="J1371" s="16" t="s">
        <v>4354</v>
      </c>
      <c r="K1371" s="8"/>
      <c r="L1371" s="8"/>
      <c r="M1371" s="193">
        <v>43325</v>
      </c>
      <c r="N1371" s="193"/>
      <c r="O1371" s="193" t="s">
        <v>436</v>
      </c>
      <c r="P1371" s="5" t="s">
        <v>65</v>
      </c>
      <c r="Q1371" s="7" t="s">
        <v>65</v>
      </c>
      <c r="R1371" s="18">
        <v>35000</v>
      </c>
      <c r="S1371" s="193" t="s">
        <v>163</v>
      </c>
      <c r="T1371" s="11" t="s">
        <v>54</v>
      </c>
      <c r="U1371" s="4"/>
      <c r="V1371" s="4"/>
      <c r="W1371" s="74" t="s">
        <v>4355</v>
      </c>
      <c r="X1371" s="74" t="s">
        <v>1536</v>
      </c>
      <c r="Y1371" s="74" t="s">
        <v>457</v>
      </c>
      <c r="Z1371" s="74"/>
      <c r="AA1371" s="74"/>
      <c r="AB1371" s="316">
        <v>43476</v>
      </c>
      <c r="AC1371" s="846" t="s">
        <v>4356</v>
      </c>
      <c r="AD1371" s="105"/>
      <c r="AE1371" s="204">
        <v>33000</v>
      </c>
    </row>
    <row r="1372" spans="1:32" ht="43.2">
      <c r="A1372" s="888"/>
      <c r="B1372" s="4" t="s">
        <v>28</v>
      </c>
      <c r="C1372" s="4"/>
      <c r="D1372" s="9" t="s">
        <v>29</v>
      </c>
      <c r="E1372" s="9"/>
      <c r="F1372" s="9"/>
      <c r="G1372" s="9"/>
      <c r="H1372" s="5" t="s">
        <v>176</v>
      </c>
      <c r="I1372" s="5" t="s">
        <v>34</v>
      </c>
      <c r="J1372" s="16" t="s">
        <v>4357</v>
      </c>
      <c r="K1372" s="8"/>
      <c r="L1372" s="8"/>
      <c r="M1372" s="193">
        <v>43333</v>
      </c>
      <c r="N1372" s="193"/>
      <c r="O1372" s="193" t="s">
        <v>181</v>
      </c>
      <c r="P1372" s="5" t="s">
        <v>35</v>
      </c>
      <c r="Q1372" s="5" t="s">
        <v>35</v>
      </c>
      <c r="R1372" s="18">
        <v>10000</v>
      </c>
      <c r="S1372" s="5" t="s">
        <v>1163</v>
      </c>
      <c r="T1372" s="11" t="s">
        <v>54</v>
      </c>
      <c r="U1372" s="4"/>
      <c r="V1372" s="4"/>
      <c r="W1372" s="5" t="s">
        <v>4358</v>
      </c>
      <c r="X1372" s="74" t="s">
        <v>1536</v>
      </c>
      <c r="Y1372" s="74" t="s">
        <v>59</v>
      </c>
      <c r="Z1372" s="74"/>
      <c r="AA1372" s="74"/>
      <c r="AB1372" s="316">
        <v>43686</v>
      </c>
      <c r="AC1372" s="847" t="s">
        <v>4359</v>
      </c>
      <c r="AD1372" s="70" t="s">
        <v>1058</v>
      </c>
      <c r="AE1372" s="204"/>
    </row>
    <row r="1373" spans="1:32" ht="57.6">
      <c r="A1373" s="888"/>
      <c r="B1373" s="4" t="s">
        <v>28</v>
      </c>
      <c r="C1373" s="1362" t="s">
        <v>4360</v>
      </c>
      <c r="D1373" s="8" t="s">
        <v>29</v>
      </c>
      <c r="E1373" s="8"/>
      <c r="F1373" s="8"/>
      <c r="G1373" s="8"/>
      <c r="H1373" s="5" t="s">
        <v>70</v>
      </c>
      <c r="I1373" s="5" t="s">
        <v>50</v>
      </c>
      <c r="J1373" s="16" t="s">
        <v>4361</v>
      </c>
      <c r="K1373" s="8"/>
      <c r="L1373" s="8"/>
      <c r="M1373" s="193">
        <v>43382</v>
      </c>
      <c r="N1373" s="193"/>
      <c r="O1373" s="193" t="s">
        <v>35</v>
      </c>
      <c r="P1373" s="5" t="s">
        <v>35</v>
      </c>
      <c r="Q1373" s="5" t="s">
        <v>35</v>
      </c>
      <c r="R1373" s="39" t="s">
        <v>35</v>
      </c>
      <c r="S1373" s="5" t="s">
        <v>53</v>
      </c>
      <c r="T1373" s="11" t="s">
        <v>54</v>
      </c>
      <c r="U1373" s="4"/>
      <c r="V1373" s="4"/>
      <c r="W1373" s="5" t="s">
        <v>3043</v>
      </c>
      <c r="X1373" s="74" t="s">
        <v>1053</v>
      </c>
      <c r="Y1373" s="74" t="s">
        <v>457</v>
      </c>
      <c r="Z1373" s="74"/>
      <c r="AA1373" s="74"/>
      <c r="AB1373" s="316">
        <v>43531</v>
      </c>
      <c r="AC1373" s="846" t="s">
        <v>4362</v>
      </c>
      <c r="AD1373" s="105"/>
      <c r="AE1373" s="204"/>
    </row>
    <row r="1374" spans="1:32" ht="72">
      <c r="A1374" s="1465"/>
      <c r="B1374" s="4" t="s">
        <v>28</v>
      </c>
      <c r="C1374" s="1362" t="s">
        <v>4363</v>
      </c>
      <c r="D1374" s="8" t="s">
        <v>29</v>
      </c>
      <c r="E1374" s="8"/>
      <c r="F1374" s="8"/>
      <c r="G1374" s="8"/>
      <c r="H1374" s="5" t="s">
        <v>70</v>
      </c>
      <c r="I1374" s="5" t="s">
        <v>34</v>
      </c>
      <c r="J1374" s="16" t="s">
        <v>4364</v>
      </c>
      <c r="K1374" s="8"/>
      <c r="L1374" s="8"/>
      <c r="M1374" s="176">
        <v>43501</v>
      </c>
      <c r="N1374" s="176"/>
      <c r="O1374" s="176" t="s">
        <v>436</v>
      </c>
      <c r="P1374" s="12">
        <v>12</v>
      </c>
      <c r="Q1374" s="7" t="s">
        <v>4365</v>
      </c>
      <c r="R1374" s="39" t="s">
        <v>4366</v>
      </c>
      <c r="S1374" s="39" t="s">
        <v>109</v>
      </c>
      <c r="T1374" s="39" t="s">
        <v>54</v>
      </c>
      <c r="U1374" s="168"/>
      <c r="V1374" s="168"/>
      <c r="W1374" s="5" t="s">
        <v>4367</v>
      </c>
      <c r="X1374" s="74" t="s">
        <v>234</v>
      </c>
      <c r="Y1374" s="74" t="s">
        <v>457</v>
      </c>
      <c r="Z1374" s="74"/>
      <c r="AB1374" s="316">
        <v>43511</v>
      </c>
      <c r="AC1374" s="95" t="s">
        <v>4368</v>
      </c>
      <c r="AD1374" s="1"/>
    </row>
    <row r="1375" spans="1:32" ht="28.8">
      <c r="A1375" s="888"/>
      <c r="B1375" s="4" t="s">
        <v>28</v>
      </c>
      <c r="C1375" s="4" t="s">
        <v>3211</v>
      </c>
      <c r="D1375" s="8" t="s">
        <v>60</v>
      </c>
      <c r="E1375" s="8"/>
      <c r="F1375" s="8"/>
      <c r="G1375" s="8"/>
      <c r="H1375" s="5" t="s">
        <v>171</v>
      </c>
      <c r="I1375" s="5" t="s">
        <v>34</v>
      </c>
      <c r="J1375" s="16" t="s">
        <v>4369</v>
      </c>
      <c r="K1375" s="16"/>
      <c r="L1375" s="16"/>
      <c r="M1375" s="1329">
        <v>43522</v>
      </c>
      <c r="N1375" s="1329"/>
      <c r="O1375" s="1329" t="s">
        <v>35</v>
      </c>
      <c r="P1375" s="1330">
        <v>6</v>
      </c>
      <c r="Q1375" s="1335">
        <v>6</v>
      </c>
      <c r="R1375" s="18">
        <v>25000</v>
      </c>
      <c r="S1375" s="1335" t="s">
        <v>163</v>
      </c>
      <c r="T1375" s="1330" t="s">
        <v>54</v>
      </c>
      <c r="U1375" s="4"/>
      <c r="V1375" s="4"/>
      <c r="W1375" s="1335" t="s">
        <v>444</v>
      </c>
      <c r="X1375" s="1342" t="s">
        <v>1536</v>
      </c>
      <c r="Y1375" s="74" t="s">
        <v>457</v>
      </c>
      <c r="Z1375" s="74"/>
      <c r="AA1375" s="1360"/>
      <c r="AB1375" s="844">
        <v>43662</v>
      </c>
      <c r="AC1375" s="399" t="s">
        <v>4370</v>
      </c>
      <c r="AD1375" s="1"/>
      <c r="AE1375" s="1475"/>
    </row>
    <row r="1376" spans="1:32" ht="57.6">
      <c r="A1376" s="888"/>
      <c r="B1376" s="4" t="s">
        <v>28</v>
      </c>
      <c r="C1376" s="4" t="s">
        <v>1085</v>
      </c>
      <c r="D1376" s="8" t="s">
        <v>29</v>
      </c>
      <c r="E1376" s="8"/>
      <c r="F1376" s="8"/>
      <c r="G1376" s="8"/>
      <c r="H1376" s="5" t="s">
        <v>171</v>
      </c>
      <c r="I1376" s="12" t="s">
        <v>34</v>
      </c>
      <c r="J1376" s="16" t="s">
        <v>3144</v>
      </c>
      <c r="K1376" s="16"/>
      <c r="L1376" s="16"/>
      <c r="M1376" s="193">
        <v>43525</v>
      </c>
      <c r="N1376" s="193"/>
      <c r="O1376" s="193" t="s">
        <v>4371</v>
      </c>
      <c r="P1376" s="5" t="s">
        <v>35</v>
      </c>
      <c r="Q1376" s="7" t="s">
        <v>35</v>
      </c>
      <c r="R1376" s="18" t="s">
        <v>35</v>
      </c>
      <c r="S1376" s="5" t="s">
        <v>1163</v>
      </c>
      <c r="T1376" s="11" t="s">
        <v>35</v>
      </c>
      <c r="U1376" s="4"/>
      <c r="V1376" s="4"/>
      <c r="W1376" s="5" t="s">
        <v>3145</v>
      </c>
      <c r="X1376" s="74" t="s">
        <v>1536</v>
      </c>
      <c r="Y1376" s="74" t="s">
        <v>457</v>
      </c>
      <c r="Z1376" s="74"/>
      <c r="AA1376" s="74"/>
      <c r="AB1376" s="1443">
        <v>43662</v>
      </c>
      <c r="AC1376" s="95" t="s">
        <v>3146</v>
      </c>
      <c r="AD1376" s="1"/>
      <c r="AE1376" s="204">
        <v>90000</v>
      </c>
    </row>
    <row r="1377" spans="1:32" ht="28.8">
      <c r="A1377" s="888"/>
      <c r="B1377" s="4" t="s">
        <v>28</v>
      </c>
      <c r="C1377" s="4" t="s">
        <v>3371</v>
      </c>
      <c r="D1377" s="9" t="s">
        <v>60</v>
      </c>
      <c r="E1377" s="9"/>
      <c r="F1377" s="9"/>
      <c r="G1377" s="9"/>
      <c r="H1377" s="9" t="s">
        <v>171</v>
      </c>
      <c r="I1377" s="9" t="s">
        <v>34</v>
      </c>
      <c r="J1377" s="60" t="s">
        <v>4372</v>
      </c>
      <c r="K1377" s="6"/>
      <c r="L1377" s="6"/>
      <c r="M1377" s="177">
        <v>43573</v>
      </c>
      <c r="N1377" s="177"/>
      <c r="O1377" s="177" t="s">
        <v>4373</v>
      </c>
      <c r="P1377" s="15" t="s">
        <v>35</v>
      </c>
      <c r="Q1377" s="15" t="s">
        <v>35</v>
      </c>
      <c r="R1377" s="58">
        <v>150000</v>
      </c>
      <c r="S1377" s="15" t="s">
        <v>1163</v>
      </c>
      <c r="T1377" s="15" t="s">
        <v>54</v>
      </c>
      <c r="U1377" s="4"/>
      <c r="V1377" s="4"/>
      <c r="W1377" s="9" t="s">
        <v>2958</v>
      </c>
      <c r="X1377" s="819" t="s">
        <v>234</v>
      </c>
      <c r="Y1377" s="74" t="s">
        <v>457</v>
      </c>
      <c r="Z1377" s="74"/>
      <c r="AA1377" s="819"/>
      <c r="AB1377" s="841">
        <v>43724</v>
      </c>
      <c r="AC1377" s="747" t="s">
        <v>4374</v>
      </c>
      <c r="AD1377" s="1360"/>
      <c r="AE1377" s="864"/>
    </row>
    <row r="1378" spans="1:32" ht="28.8">
      <c r="A1378" s="852"/>
      <c r="B1378" s="305"/>
      <c r="C1378" s="1351"/>
      <c r="D1378" s="9" t="s">
        <v>29</v>
      </c>
      <c r="E1378" s="9"/>
      <c r="F1378" s="9"/>
      <c r="G1378" s="9"/>
      <c r="H1378" s="5" t="s">
        <v>4375</v>
      </c>
      <c r="I1378" s="5" t="s">
        <v>34</v>
      </c>
      <c r="J1378" s="16" t="s">
        <v>4376</v>
      </c>
      <c r="K1378" s="16"/>
      <c r="L1378" s="16"/>
      <c r="M1378" s="176">
        <v>43768</v>
      </c>
      <c r="N1378" s="176"/>
      <c r="O1378" s="176" t="s">
        <v>181</v>
      </c>
      <c r="P1378" s="12" t="s">
        <v>35</v>
      </c>
      <c r="Q1378" s="12" t="s">
        <v>35</v>
      </c>
      <c r="R1378" s="18">
        <v>25000</v>
      </c>
      <c r="S1378" s="5" t="s">
        <v>909</v>
      </c>
      <c r="T1378" s="9" t="s">
        <v>54</v>
      </c>
      <c r="U1378" s="15" t="s">
        <v>37</v>
      </c>
      <c r="V1378" s="15"/>
      <c r="W1378" s="12" t="s">
        <v>4377</v>
      </c>
      <c r="X1378" s="74" t="s">
        <v>219</v>
      </c>
      <c r="Y1378" s="74" t="s">
        <v>39</v>
      </c>
      <c r="Z1378" s="74"/>
      <c r="AA1378" s="70" t="s">
        <v>54</v>
      </c>
      <c r="AB1378" s="316" t="s">
        <v>1082</v>
      </c>
      <c r="AC1378" s="95" t="s">
        <v>4378</v>
      </c>
      <c r="AD1378" s="70" t="s">
        <v>171</v>
      </c>
      <c r="AE1378" s="306"/>
    </row>
    <row r="1379" spans="1:32" ht="28.8">
      <c r="A1379" s="888"/>
      <c r="B1379" s="305"/>
      <c r="C1379" s="1351"/>
      <c r="D1379" s="9" t="s">
        <v>29</v>
      </c>
      <c r="E1379" s="9"/>
      <c r="F1379" s="9"/>
      <c r="G1379" s="9"/>
      <c r="H1379" s="5" t="s">
        <v>4375</v>
      </c>
      <c r="I1379" s="5" t="s">
        <v>34</v>
      </c>
      <c r="J1379" s="16" t="s">
        <v>4379</v>
      </c>
      <c r="K1379" s="16"/>
      <c r="L1379" s="16"/>
      <c r="M1379" s="176">
        <v>43768</v>
      </c>
      <c r="N1379" s="176"/>
      <c r="O1379" s="176" t="s">
        <v>181</v>
      </c>
      <c r="P1379" s="12" t="s">
        <v>35</v>
      </c>
      <c r="Q1379" s="12" t="s">
        <v>35</v>
      </c>
      <c r="R1379" s="18">
        <v>25000</v>
      </c>
      <c r="S1379" s="5" t="s">
        <v>909</v>
      </c>
      <c r="T1379" s="9" t="s">
        <v>54</v>
      </c>
      <c r="U1379" s="15" t="s">
        <v>37</v>
      </c>
      <c r="V1379" s="15"/>
      <c r="W1379" s="70" t="s">
        <v>4380</v>
      </c>
      <c r="X1379" s="74" t="s">
        <v>219</v>
      </c>
      <c r="Y1379" s="74" t="s">
        <v>39</v>
      </c>
      <c r="Z1379" s="74"/>
      <c r="AA1379" s="70" t="s">
        <v>54</v>
      </c>
      <c r="AB1379" s="316" t="s">
        <v>1082</v>
      </c>
      <c r="AC1379" s="95" t="s">
        <v>4378</v>
      </c>
      <c r="AD1379" s="70" t="s">
        <v>171</v>
      </c>
      <c r="AE1379" s="306"/>
    </row>
    <row r="1380" spans="1:32" ht="43.2">
      <c r="A1380" s="888"/>
      <c r="B1380" s="323" t="s">
        <v>145</v>
      </c>
      <c r="C1380" s="371"/>
      <c r="D1380" s="371" t="s">
        <v>92</v>
      </c>
      <c r="E1380" s="371"/>
      <c r="F1380" s="371"/>
      <c r="G1380" s="371"/>
      <c r="H1380" s="371"/>
      <c r="I1380" s="371" t="s">
        <v>34</v>
      </c>
      <c r="J1380" s="366" t="s">
        <v>4019</v>
      </c>
      <c r="K1380" s="372"/>
      <c r="L1380" s="372"/>
      <c r="M1380" s="373">
        <v>43812</v>
      </c>
      <c r="N1380" s="372"/>
      <c r="O1380" s="371"/>
      <c r="P1380" s="371"/>
      <c r="Q1380" s="371"/>
      <c r="R1380" s="1291"/>
      <c r="S1380" s="371" t="s">
        <v>158</v>
      </c>
      <c r="T1380" s="374" t="s">
        <v>54</v>
      </c>
      <c r="U1380" s="374" t="s">
        <v>43</v>
      </c>
      <c r="V1380" s="374"/>
      <c r="W1380" s="372" t="s">
        <v>4381</v>
      </c>
      <c r="X1380" s="1304" t="s">
        <v>1119</v>
      </c>
      <c r="Y1380" s="1304" t="s">
        <v>39</v>
      </c>
      <c r="Z1380" s="1304"/>
      <c r="AA1380" s="1306"/>
      <c r="AB1380" s="1306"/>
      <c r="AC1380" s="1304" t="s">
        <v>4382</v>
      </c>
      <c r="AD1380" s="1304"/>
      <c r="AE1380" s="1304"/>
      <c r="AF1380" s="691"/>
    </row>
    <row r="1381" spans="1:32" ht="28.8">
      <c r="A1381" s="888"/>
      <c r="B1381" s="1351" t="s">
        <v>28</v>
      </c>
      <c r="C1381" s="4">
        <v>30219</v>
      </c>
      <c r="D1381" s="9" t="s">
        <v>29</v>
      </c>
      <c r="E1381" s="9"/>
      <c r="F1381" s="9"/>
      <c r="G1381" s="9"/>
      <c r="H1381" s="5" t="s">
        <v>70</v>
      </c>
      <c r="I1381" s="5" t="s">
        <v>34</v>
      </c>
      <c r="J1381" s="16" t="s">
        <v>328</v>
      </c>
      <c r="K1381" s="16"/>
      <c r="L1381" s="5">
        <v>24</v>
      </c>
      <c r="M1381" s="193">
        <f>IFERROR(EDATE($N1381,-3),"Invalid procurement method or date entered")</f>
        <v>43975</v>
      </c>
      <c r="N1381" s="193">
        <f>IFERROR(EDATE(O1381,-L1381),"Invalid procurement method or date entered")</f>
        <v>44067</v>
      </c>
      <c r="O1381" s="176">
        <v>44797</v>
      </c>
      <c r="P1381" s="5">
        <v>48</v>
      </c>
      <c r="Q1381" s="5" t="s">
        <v>191</v>
      </c>
      <c r="R1381" s="18">
        <v>100000</v>
      </c>
      <c r="S1381" s="5" t="s">
        <v>109</v>
      </c>
      <c r="T1381" s="5" t="s">
        <v>36</v>
      </c>
      <c r="U1381" s="12" t="s">
        <v>43</v>
      </c>
      <c r="V1381" s="12"/>
      <c r="W1381" s="74" t="s">
        <v>1290</v>
      </c>
      <c r="X1381" s="74" t="s">
        <v>90</v>
      </c>
      <c r="Y1381" s="74" t="s">
        <v>457</v>
      </c>
      <c r="Z1381" s="74" t="s">
        <v>80</v>
      </c>
      <c r="AA1381" s="74" t="s">
        <v>41</v>
      </c>
      <c r="AB1381" s="316" t="s">
        <v>4383</v>
      </c>
      <c r="AC1381" s="95" t="s">
        <v>1025</v>
      </c>
      <c r="AD1381" s="74" t="s">
        <v>242</v>
      </c>
      <c r="AE1381" s="204"/>
    </row>
    <row r="1382" spans="1:32" ht="28.8">
      <c r="A1382" s="1478"/>
      <c r="B1382" s="323" t="s">
        <v>145</v>
      </c>
      <c r="C1382" s="368"/>
      <c r="D1382" s="374" t="s">
        <v>92</v>
      </c>
      <c r="E1382" s="374"/>
      <c r="F1382" s="374"/>
      <c r="G1382" s="374"/>
      <c r="H1382" s="374" t="s">
        <v>148</v>
      </c>
      <c r="I1382" s="374" t="s">
        <v>34</v>
      </c>
      <c r="J1382" s="1026" t="s">
        <v>4384</v>
      </c>
      <c r="K1382" s="374"/>
      <c r="L1382" s="374"/>
      <c r="M1382" s="375">
        <v>44013</v>
      </c>
      <c r="N1382" s="374"/>
      <c r="O1382" s="375"/>
      <c r="P1382" s="376"/>
      <c r="Q1382" s="376"/>
      <c r="R1382" s="377"/>
      <c r="S1382" s="378"/>
      <c r="T1382" s="363" t="s">
        <v>35</v>
      </c>
      <c r="U1382" s="363"/>
      <c r="V1382" s="363"/>
      <c r="W1382" s="374" t="s">
        <v>4385</v>
      </c>
      <c r="X1382" s="835" t="s">
        <v>150</v>
      </c>
      <c r="Y1382" s="835"/>
      <c r="Z1382" s="835"/>
      <c r="AA1382" s="1306"/>
      <c r="AB1382" s="1308">
        <v>44021</v>
      </c>
      <c r="AC1382" s="367" t="s">
        <v>4386</v>
      </c>
      <c r="AD1382" s="367"/>
      <c r="AE1382" s="367"/>
      <c r="AF1382" s="691"/>
    </row>
    <row r="1383" spans="1:32" ht="28.8">
      <c r="A1383" s="1364"/>
      <c r="B1383" s="323" t="s">
        <v>145</v>
      </c>
      <c r="C1383" s="368"/>
      <c r="D1383" s="374" t="s">
        <v>92</v>
      </c>
      <c r="E1383" s="374"/>
      <c r="F1383" s="374"/>
      <c r="G1383" s="374"/>
      <c r="H1383" s="374" t="s">
        <v>148</v>
      </c>
      <c r="I1383" s="374" t="s">
        <v>34</v>
      </c>
      <c r="J1383" s="1026" t="s">
        <v>4387</v>
      </c>
      <c r="K1383" s="374"/>
      <c r="L1383" s="374"/>
      <c r="M1383" s="375">
        <v>44013</v>
      </c>
      <c r="N1383" s="374"/>
      <c r="O1383" s="375"/>
      <c r="P1383" s="376"/>
      <c r="Q1383" s="376"/>
      <c r="R1383" s="377"/>
      <c r="S1383" s="378"/>
      <c r="T1383" s="363" t="s">
        <v>35</v>
      </c>
      <c r="U1383" s="363"/>
      <c r="V1383" s="363"/>
      <c r="W1383" s="374" t="s">
        <v>4385</v>
      </c>
      <c r="X1383" s="835" t="s">
        <v>150</v>
      </c>
      <c r="Y1383" s="835"/>
      <c r="Z1383" s="835"/>
      <c r="AA1383" s="1306"/>
      <c r="AB1383" s="1308">
        <v>44021</v>
      </c>
      <c r="AC1383" s="367" t="s">
        <v>4386</v>
      </c>
      <c r="AD1383" s="367"/>
      <c r="AE1383" s="367"/>
      <c r="AF1383" s="691"/>
    </row>
    <row r="1384" spans="1:32" ht="43.2">
      <c r="A1384" s="454"/>
      <c r="B1384" s="4" t="s">
        <v>28</v>
      </c>
      <c r="C1384" s="4" t="s">
        <v>361</v>
      </c>
      <c r="D1384" s="4" t="s">
        <v>60</v>
      </c>
      <c r="E1384" s="4"/>
      <c r="F1384" s="4"/>
      <c r="G1384" s="4"/>
      <c r="H1384" s="5" t="s">
        <v>171</v>
      </c>
      <c r="I1384" s="8" t="s">
        <v>34</v>
      </c>
      <c r="J1384" s="16" t="s">
        <v>4388</v>
      </c>
      <c r="K1384" s="16"/>
      <c r="L1384" s="16"/>
      <c r="M1384" s="176">
        <v>42826</v>
      </c>
      <c r="N1384" s="176"/>
      <c r="O1384" s="4"/>
      <c r="P1384" s="12">
        <v>6</v>
      </c>
      <c r="Q1384" s="7">
        <v>6</v>
      </c>
      <c r="R1384" s="18">
        <v>10000</v>
      </c>
      <c r="S1384" s="5" t="s">
        <v>237</v>
      </c>
      <c r="T1384" s="12" t="s">
        <v>54</v>
      </c>
      <c r="U1384" s="4"/>
      <c r="V1384" s="4"/>
      <c r="W1384" s="5" t="s">
        <v>2574</v>
      </c>
      <c r="X1384" s="74" t="s">
        <v>1374</v>
      </c>
      <c r="Y1384" s="74" t="s">
        <v>457</v>
      </c>
      <c r="Z1384" s="74"/>
      <c r="AA1384" s="74"/>
      <c r="AB1384" s="1310"/>
      <c r="AC1384" s="95" t="s">
        <v>4389</v>
      </c>
      <c r="AD1384" s="1"/>
      <c r="AE1384" s="74"/>
      <c r="AF1384" s="691"/>
    </row>
    <row r="1385" spans="1:32" ht="158.4">
      <c r="A1385" s="852"/>
      <c r="B1385" s="4" t="s">
        <v>28</v>
      </c>
      <c r="C1385" s="4" t="s">
        <v>4390</v>
      </c>
      <c r="D1385" s="8" t="s">
        <v>29</v>
      </c>
      <c r="E1385" s="8"/>
      <c r="F1385" s="8"/>
      <c r="G1385" s="8"/>
      <c r="H1385" s="5" t="s">
        <v>2654</v>
      </c>
      <c r="I1385" s="5" t="s">
        <v>34</v>
      </c>
      <c r="J1385" s="16" t="s">
        <v>4391</v>
      </c>
      <c r="K1385" s="16"/>
      <c r="L1385" s="16"/>
      <c r="M1385" s="176">
        <v>42887</v>
      </c>
      <c r="N1385" s="176"/>
      <c r="O1385" s="176" t="s">
        <v>35</v>
      </c>
      <c r="P1385" s="12">
        <v>24</v>
      </c>
      <c r="Q1385" s="7" t="s">
        <v>366</v>
      </c>
      <c r="R1385" s="18">
        <v>23000</v>
      </c>
      <c r="S1385" s="5" t="s">
        <v>2648</v>
      </c>
      <c r="T1385" s="11" t="s">
        <v>54</v>
      </c>
      <c r="U1385" s="4"/>
      <c r="V1385" s="4"/>
      <c r="W1385" s="5" t="s">
        <v>4392</v>
      </c>
      <c r="X1385" s="74" t="s">
        <v>1091</v>
      </c>
      <c r="Y1385" s="74" t="s">
        <v>457</v>
      </c>
      <c r="Z1385" s="74"/>
      <c r="AA1385" s="74"/>
      <c r="AB1385" s="772"/>
      <c r="AC1385" s="95" t="s">
        <v>4393</v>
      </c>
      <c r="AD1385" s="1"/>
      <c r="AE1385" s="442"/>
    </row>
    <row r="1386" spans="1:32" ht="57.6">
      <c r="A1386" s="454"/>
      <c r="B1386" s="4" t="s">
        <v>28</v>
      </c>
      <c r="C1386" s="1406" t="s">
        <v>4394</v>
      </c>
      <c r="D1386" s="4" t="s">
        <v>29</v>
      </c>
      <c r="E1386" s="4"/>
      <c r="F1386" s="4"/>
      <c r="G1386" s="4"/>
      <c r="H1386" s="5" t="s">
        <v>364</v>
      </c>
      <c r="I1386" s="8" t="s">
        <v>1059</v>
      </c>
      <c r="J1386" s="16" t="s">
        <v>4395</v>
      </c>
      <c r="K1386" s="8"/>
      <c r="L1386" s="8"/>
      <c r="M1386" s="14">
        <v>42898</v>
      </c>
      <c r="N1386" s="14"/>
      <c r="O1386" s="14" t="s">
        <v>4396</v>
      </c>
      <c r="P1386" s="12"/>
      <c r="Q1386" s="5"/>
      <c r="R1386" s="76"/>
      <c r="S1386" s="5"/>
      <c r="T1386" s="14" t="s">
        <v>54</v>
      </c>
      <c r="U1386" s="168"/>
      <c r="V1386" s="168"/>
      <c r="W1386" s="74"/>
      <c r="X1386" s="74" t="s">
        <v>2638</v>
      </c>
      <c r="Y1386" s="74" t="s">
        <v>457</v>
      </c>
      <c r="Z1386" s="74"/>
      <c r="AA1386" s="74"/>
      <c r="AB1386" s="1310"/>
      <c r="AC1386" s="95" t="s">
        <v>4397</v>
      </c>
      <c r="AD1386" s="1"/>
      <c r="AE1386" s="74"/>
    </row>
    <row r="1387" spans="1:32" ht="43.2">
      <c r="A1387" s="896"/>
      <c r="B1387" s="4" t="s">
        <v>28</v>
      </c>
      <c r="C1387" s="4" t="s">
        <v>4398</v>
      </c>
      <c r="D1387" s="4" t="s">
        <v>60</v>
      </c>
      <c r="E1387" s="4"/>
      <c r="F1387" s="4"/>
      <c r="G1387" s="4"/>
      <c r="H1387" s="5" t="s">
        <v>260</v>
      </c>
      <c r="I1387" s="8" t="s">
        <v>34</v>
      </c>
      <c r="J1387" s="16" t="s">
        <v>4399</v>
      </c>
      <c r="K1387" s="16"/>
      <c r="L1387" s="16"/>
      <c r="M1387" s="14">
        <v>42917</v>
      </c>
      <c r="N1387" s="14"/>
      <c r="O1387" s="14" t="s">
        <v>35</v>
      </c>
      <c r="P1387" s="12">
        <v>12</v>
      </c>
      <c r="Q1387" s="5">
        <v>12</v>
      </c>
      <c r="R1387" s="18">
        <v>25000</v>
      </c>
      <c r="S1387" s="5" t="s">
        <v>1195</v>
      </c>
      <c r="T1387" s="14" t="s">
        <v>54</v>
      </c>
      <c r="U1387" s="168"/>
      <c r="V1387" s="168"/>
      <c r="W1387" s="5" t="s">
        <v>233</v>
      </c>
      <c r="X1387" s="70" t="s">
        <v>2617</v>
      </c>
      <c r="Y1387" s="74" t="s">
        <v>457</v>
      </c>
      <c r="Z1387" s="74"/>
      <c r="AA1387" s="74"/>
      <c r="AB1387" s="74"/>
      <c r="AC1387" s="95" t="s">
        <v>4400</v>
      </c>
      <c r="AD1387" s="1"/>
      <c r="AE1387" s="460">
        <v>25000</v>
      </c>
    </row>
    <row r="1388" spans="1:32" ht="57.6">
      <c r="A1388" s="454"/>
      <c r="B1388" s="4" t="s">
        <v>28</v>
      </c>
      <c r="C1388" s="4"/>
      <c r="D1388" s="4" t="s">
        <v>29</v>
      </c>
      <c r="E1388" s="4"/>
      <c r="F1388" s="4"/>
      <c r="G1388" s="4"/>
      <c r="H1388" s="12" t="s">
        <v>364</v>
      </c>
      <c r="I1388" s="10" t="s">
        <v>1059</v>
      </c>
      <c r="J1388" s="16" t="s">
        <v>4401</v>
      </c>
      <c r="K1388" s="16"/>
      <c r="L1388" s="16"/>
      <c r="M1388" s="1328">
        <v>42979</v>
      </c>
      <c r="N1388" s="1328"/>
      <c r="O1388" s="1330">
        <v>12</v>
      </c>
      <c r="P1388" s="1380" t="s">
        <v>100</v>
      </c>
      <c r="Q1388" s="1381">
        <v>14000</v>
      </c>
      <c r="R1388" s="1380" t="s">
        <v>2636</v>
      </c>
      <c r="S1388" s="12" t="s">
        <v>54</v>
      </c>
      <c r="T1388" s="4"/>
      <c r="U1388" s="4"/>
      <c r="V1388" s="4"/>
      <c r="W1388" s="8" t="s">
        <v>2680</v>
      </c>
      <c r="X1388" s="95" t="s">
        <v>1374</v>
      </c>
      <c r="Y1388" s="70" t="s">
        <v>4402</v>
      </c>
      <c r="Z1388" s="70"/>
      <c r="AA1388" s="70"/>
      <c r="AB1388" s="74"/>
      <c r="AC1388" s="95"/>
      <c r="AD1388" s="1360"/>
      <c r="AE1388" s="74" t="s">
        <v>4403</v>
      </c>
      <c r="AF1388" s="1"/>
    </row>
    <row r="1389" spans="1:32" ht="115.2">
      <c r="A1389" s="889"/>
      <c r="B1389" s="305"/>
      <c r="C1389" s="1351"/>
      <c r="D1389" s="5" t="s">
        <v>29</v>
      </c>
      <c r="E1389" s="5"/>
      <c r="F1389" s="5"/>
      <c r="G1389" s="5"/>
      <c r="H1389" s="5" t="s">
        <v>70</v>
      </c>
      <c r="I1389" s="5" t="s">
        <v>34</v>
      </c>
      <c r="J1389" s="16" t="s">
        <v>4404</v>
      </c>
      <c r="K1389" s="8"/>
      <c r="L1389" s="8"/>
      <c r="M1389" s="176">
        <v>43009</v>
      </c>
      <c r="N1389" s="176"/>
      <c r="O1389" s="176" t="s">
        <v>4405</v>
      </c>
      <c r="P1389" s="12" t="s">
        <v>35</v>
      </c>
      <c r="Q1389" s="5" t="s">
        <v>35</v>
      </c>
      <c r="R1389" s="18">
        <v>194490</v>
      </c>
      <c r="S1389" s="5" t="s">
        <v>35</v>
      </c>
      <c r="T1389" s="14" t="s">
        <v>54</v>
      </c>
      <c r="U1389" s="14" t="s">
        <v>3104</v>
      </c>
      <c r="V1389" s="14"/>
      <c r="W1389" s="5" t="s">
        <v>4406</v>
      </c>
      <c r="X1389" s="74" t="s">
        <v>150</v>
      </c>
      <c r="Y1389" s="74" t="s">
        <v>39</v>
      </c>
      <c r="Z1389" s="74"/>
      <c r="AA1389" s="74"/>
      <c r="AB1389" s="316" t="s">
        <v>3429</v>
      </c>
      <c r="AC1389" s="95" t="s">
        <v>4407</v>
      </c>
      <c r="AD1389" s="70" t="s">
        <v>3577</v>
      </c>
      <c r="AE1389" s="204"/>
    </row>
    <row r="1390" spans="1:32" ht="15.6">
      <c r="A1390" s="852"/>
      <c r="B1390" s="4" t="s">
        <v>28</v>
      </c>
      <c r="C1390" s="142"/>
      <c r="D1390" s="169" t="s">
        <v>29</v>
      </c>
      <c r="E1390" s="169"/>
      <c r="F1390" s="169"/>
      <c r="G1390" s="169"/>
      <c r="H1390" s="1330" t="s">
        <v>364</v>
      </c>
      <c r="I1390" s="1347" t="s">
        <v>34</v>
      </c>
      <c r="J1390" s="1347" t="s">
        <v>4408</v>
      </c>
      <c r="K1390" s="1347"/>
      <c r="L1390" s="1347"/>
      <c r="M1390" s="1329">
        <v>43061</v>
      </c>
      <c r="N1390" s="1329"/>
      <c r="O1390" s="1330"/>
      <c r="P1390" s="1330">
        <v>12</v>
      </c>
      <c r="Q1390" s="1335" t="s">
        <v>366</v>
      </c>
      <c r="R1390" s="18">
        <v>60000</v>
      </c>
      <c r="S1390" s="1330" t="s">
        <v>163</v>
      </c>
      <c r="T1390" s="1330" t="s">
        <v>54</v>
      </c>
      <c r="U1390" s="4"/>
      <c r="V1390" s="4"/>
      <c r="W1390" s="1330" t="s">
        <v>2637</v>
      </c>
      <c r="X1390" s="1356" t="s">
        <v>1053</v>
      </c>
      <c r="Y1390" s="74" t="s">
        <v>457</v>
      </c>
      <c r="Z1390" s="74"/>
      <c r="AA1390" s="1479"/>
      <c r="AB1390" s="1360"/>
      <c r="AC1390" s="1360" t="s">
        <v>4409</v>
      </c>
      <c r="AD1390" s="1360"/>
      <c r="AE1390" s="1480"/>
      <c r="AF1390" s="691"/>
    </row>
    <row r="1391" spans="1:32" ht="66">
      <c r="A1391" s="852"/>
      <c r="B1391" s="520" t="s">
        <v>48</v>
      </c>
      <c r="C1391" s="465" t="s">
        <v>125</v>
      </c>
      <c r="D1391" s="466" t="s">
        <v>60</v>
      </c>
      <c r="E1391" s="466"/>
      <c r="F1391" s="466"/>
      <c r="G1391" s="466"/>
      <c r="H1391" s="466" t="s">
        <v>127</v>
      </c>
      <c r="I1391" s="474" t="s">
        <v>34</v>
      </c>
      <c r="J1391" s="549" t="s">
        <v>2163</v>
      </c>
      <c r="K1391" s="484"/>
      <c r="L1391" s="484"/>
      <c r="M1391" s="466">
        <v>14</v>
      </c>
      <c r="N1391" s="469" t="str">
        <f>IFERROR(EDATE(#REF!,-3),"Invalid procurement method or date entered")</f>
        <v>Invalid procurement method or date entered</v>
      </c>
      <c r="O1391" s="469" t="s">
        <v>125</v>
      </c>
      <c r="P1391" s="491" t="s">
        <v>125</v>
      </c>
      <c r="Q1391" s="491" t="s">
        <v>125</v>
      </c>
      <c r="R1391" s="493" t="s">
        <v>125</v>
      </c>
      <c r="S1391" s="491" t="s">
        <v>35</v>
      </c>
      <c r="T1391" s="491" t="s">
        <v>125</v>
      </c>
      <c r="U1391" s="469" t="s">
        <v>125</v>
      </c>
      <c r="V1391" s="469"/>
      <c r="W1391" s="474" t="s">
        <v>2162</v>
      </c>
    </row>
    <row r="1392" spans="1:32" ht="52.8">
      <c r="A1392" s="852"/>
      <c r="B1392" s="520" t="s">
        <v>48</v>
      </c>
      <c r="C1392" s="465" t="s">
        <v>125</v>
      </c>
      <c r="D1392" s="466" t="s">
        <v>60</v>
      </c>
      <c r="E1392" s="466"/>
      <c r="F1392" s="466"/>
      <c r="G1392" s="466"/>
      <c r="H1392" s="466" t="s">
        <v>127</v>
      </c>
      <c r="I1392" s="474" t="s">
        <v>34</v>
      </c>
      <c r="J1392" s="1024" t="s">
        <v>2188</v>
      </c>
      <c r="K1392" s="467"/>
      <c r="L1392" s="467"/>
      <c r="M1392" s="466">
        <v>14</v>
      </c>
      <c r="N1392" s="469" t="str">
        <f>IF(O1392="tbc","",(IFERROR(EDATE(#REF!,-3),"Invalid procurement method or date entered")))</f>
        <v/>
      </c>
      <c r="O1392" s="470" t="s">
        <v>125</v>
      </c>
      <c r="P1392" s="471" t="s">
        <v>125</v>
      </c>
      <c r="Q1392" s="471" t="s">
        <v>125</v>
      </c>
      <c r="R1392" s="483">
        <v>304500</v>
      </c>
      <c r="S1392" s="470" t="s">
        <v>186</v>
      </c>
      <c r="T1392" s="470" t="s">
        <v>36</v>
      </c>
      <c r="U1392" s="470" t="s">
        <v>125</v>
      </c>
      <c r="V1392" s="470"/>
      <c r="W1392" s="474" t="s">
        <v>2189</v>
      </c>
    </row>
    <row r="1393" spans="1:31" ht="39.6">
      <c r="A1393" s="852"/>
      <c r="B1393" s="520" t="s">
        <v>48</v>
      </c>
      <c r="C1393" s="465" t="s">
        <v>125</v>
      </c>
      <c r="D1393" s="466" t="s">
        <v>82</v>
      </c>
      <c r="E1393" s="466"/>
      <c r="F1393" s="466"/>
      <c r="G1393" s="466"/>
      <c r="H1393" s="466" t="s">
        <v>49</v>
      </c>
      <c r="I1393" s="474" t="s">
        <v>34</v>
      </c>
      <c r="J1393" s="549" t="s">
        <v>2214</v>
      </c>
      <c r="K1393" s="484"/>
      <c r="L1393" s="484"/>
      <c r="M1393" s="466">
        <v>14</v>
      </c>
      <c r="N1393" s="469" t="str">
        <f>IF(O1393="tbc","",(IFERROR(EDATE(#REF!,-3),"Invalid procurement method or date entered")))</f>
        <v/>
      </c>
      <c r="O1393" s="470" t="s">
        <v>125</v>
      </c>
      <c r="P1393" s="471" t="s">
        <v>125</v>
      </c>
      <c r="Q1393" s="471" t="s">
        <v>125</v>
      </c>
      <c r="R1393" s="483">
        <v>588000</v>
      </c>
      <c r="S1393" s="470" t="s">
        <v>125</v>
      </c>
      <c r="T1393" s="470" t="s">
        <v>898</v>
      </c>
      <c r="U1393" s="470" t="s">
        <v>125</v>
      </c>
      <c r="V1393" s="470"/>
      <c r="W1393" s="474" t="s">
        <v>1734</v>
      </c>
    </row>
    <row r="1394" spans="1:31" ht="39.6">
      <c r="A1394" s="852"/>
      <c r="B1394" s="520" t="s">
        <v>48</v>
      </c>
      <c r="C1394" s="465" t="s">
        <v>125</v>
      </c>
      <c r="D1394" s="466" t="s">
        <v>82</v>
      </c>
      <c r="E1394" s="466"/>
      <c r="F1394" s="466"/>
      <c r="G1394" s="466"/>
      <c r="H1394" s="466" t="s">
        <v>49</v>
      </c>
      <c r="I1394" s="474" t="s">
        <v>34</v>
      </c>
      <c r="J1394" s="549" t="s">
        <v>2256</v>
      </c>
      <c r="K1394" s="484"/>
      <c r="L1394" s="484"/>
      <c r="M1394" s="466">
        <v>14</v>
      </c>
      <c r="N1394" s="469" t="str">
        <f>IF(O1394="tbc","",(IFERROR(EDATE(#REF!,-3),"Invalid procurement method or date entered")))</f>
        <v/>
      </c>
      <c r="O1394" s="469" t="s">
        <v>125</v>
      </c>
      <c r="P1394" s="491" t="s">
        <v>125</v>
      </c>
      <c r="Q1394" s="491" t="s">
        <v>125</v>
      </c>
      <c r="R1394" s="493" t="s">
        <v>125</v>
      </c>
      <c r="S1394" s="491" t="s">
        <v>125</v>
      </c>
      <c r="T1394" s="491" t="s">
        <v>36</v>
      </c>
      <c r="U1394" s="469" t="s">
        <v>125</v>
      </c>
      <c r="V1394" s="469"/>
      <c r="W1394" s="474" t="s">
        <v>2257</v>
      </c>
    </row>
    <row r="1395" spans="1:31" ht="52.8">
      <c r="A1395" s="852"/>
      <c r="B1395" s="520" t="s">
        <v>48</v>
      </c>
      <c r="C1395" s="465" t="s">
        <v>125</v>
      </c>
      <c r="D1395" s="466" t="s">
        <v>60</v>
      </c>
      <c r="E1395" s="466"/>
      <c r="F1395" s="466"/>
      <c r="G1395" s="466"/>
      <c r="H1395" s="466" t="s">
        <v>127</v>
      </c>
      <c r="I1395" s="474" t="s">
        <v>34</v>
      </c>
      <c r="J1395" s="549" t="s">
        <v>2284</v>
      </c>
      <c r="K1395" s="484"/>
      <c r="L1395" s="484"/>
      <c r="M1395" s="466">
        <v>14</v>
      </c>
      <c r="N1395" s="469" t="str">
        <f>IF(O1395="tbc","",(IFERROR(EDATE(#REF!,-3),"Invalid procurement method or date entered")))</f>
        <v/>
      </c>
      <c r="O1395" s="469" t="s">
        <v>125</v>
      </c>
      <c r="P1395" s="491" t="s">
        <v>125</v>
      </c>
      <c r="Q1395" s="491" t="s">
        <v>125</v>
      </c>
      <c r="R1395" s="493">
        <v>745000</v>
      </c>
      <c r="S1395" s="491" t="s">
        <v>125</v>
      </c>
      <c r="T1395" s="491" t="s">
        <v>144</v>
      </c>
      <c r="U1395" s="469" t="s">
        <v>125</v>
      </c>
      <c r="V1395" s="469"/>
      <c r="W1395" s="474" t="s">
        <v>1050</v>
      </c>
    </row>
    <row r="1396" spans="1:31" ht="86.4">
      <c r="A1396" s="888"/>
      <c r="B1396" s="4" t="s">
        <v>28</v>
      </c>
      <c r="C1396" s="4"/>
      <c r="D1396" s="8" t="s">
        <v>29</v>
      </c>
      <c r="E1396" s="8"/>
      <c r="F1396" s="8"/>
      <c r="G1396" s="8"/>
      <c r="H1396" s="5" t="s">
        <v>171</v>
      </c>
      <c r="I1396" s="5" t="s">
        <v>34</v>
      </c>
      <c r="J1396" s="97" t="s">
        <v>4071</v>
      </c>
      <c r="K1396" s="83"/>
      <c r="L1396" s="83"/>
      <c r="M1396" s="84">
        <v>44099</v>
      </c>
      <c r="N1396" s="84"/>
      <c r="O1396" s="84" t="s">
        <v>181</v>
      </c>
      <c r="P1396" s="85" t="s">
        <v>35</v>
      </c>
      <c r="Q1396" s="86" t="s">
        <v>35</v>
      </c>
      <c r="R1396" s="18" t="s">
        <v>35</v>
      </c>
      <c r="S1396" s="5" t="s">
        <v>163</v>
      </c>
      <c r="T1396" s="439" t="s">
        <v>54</v>
      </c>
      <c r="U1396" s="4"/>
      <c r="V1396" s="4"/>
      <c r="W1396" s="86" t="s">
        <v>4410</v>
      </c>
      <c r="X1396" s="70" t="s">
        <v>1091</v>
      </c>
      <c r="Y1396" s="74" t="s">
        <v>39</v>
      </c>
      <c r="Z1396" s="74"/>
      <c r="AA1396" s="74"/>
      <c r="AB1396" s="772"/>
      <c r="AC1396" s="95" t="s">
        <v>4411</v>
      </c>
      <c r="AD1396" s="1" t="s">
        <v>171</v>
      </c>
      <c r="AE1396" s="867" t="s">
        <v>4412</v>
      </c>
    </row>
    <row r="1397" spans="1:31" ht="92.4">
      <c r="A1397" s="852"/>
      <c r="B1397" s="520" t="s">
        <v>48</v>
      </c>
      <c r="C1397" s="466" t="s">
        <v>125</v>
      </c>
      <c r="D1397" s="481" t="s">
        <v>60</v>
      </c>
      <c r="E1397" s="481"/>
      <c r="F1397" s="481"/>
      <c r="G1397" s="481"/>
      <c r="H1397" s="481" t="s">
        <v>127</v>
      </c>
      <c r="I1397" s="479" t="s">
        <v>34</v>
      </c>
      <c r="J1397" s="1265" t="s">
        <v>2216</v>
      </c>
      <c r="K1397" s="575"/>
      <c r="L1397" s="575"/>
      <c r="M1397" s="466">
        <v>14</v>
      </c>
      <c r="N1397" s="469" t="str">
        <f>IF(O1397="tbc","",(IFERROR(EDATE(#REF!,-3),"Invalid procurement method or date entered")))</f>
        <v>Invalid procurement method or date entered</v>
      </c>
      <c r="O1397" s="473">
        <v>45016</v>
      </c>
      <c r="P1397" s="565" t="s">
        <v>125</v>
      </c>
      <c r="Q1397" s="565" t="s">
        <v>125</v>
      </c>
      <c r="R1397" s="472">
        <v>565000</v>
      </c>
      <c r="S1397" s="473" t="s">
        <v>125</v>
      </c>
      <c r="T1397" s="473" t="s">
        <v>144</v>
      </c>
      <c r="U1397" s="481" t="s">
        <v>125</v>
      </c>
      <c r="V1397" s="481"/>
      <c r="W1397" s="1220" t="s">
        <v>2217</v>
      </c>
    </row>
    <row r="1398" spans="1:31" ht="92.4">
      <c r="A1398" s="852"/>
      <c r="B1398" s="520" t="s">
        <v>48</v>
      </c>
      <c r="C1398" s="466" t="s">
        <v>125</v>
      </c>
      <c r="D1398" s="481" t="s">
        <v>60</v>
      </c>
      <c r="E1398" s="481"/>
      <c r="F1398" s="481"/>
      <c r="G1398" s="481"/>
      <c r="H1398" s="481" t="s">
        <v>127</v>
      </c>
      <c r="I1398" s="479" t="s">
        <v>34</v>
      </c>
      <c r="J1398" s="1265" t="s">
        <v>2218</v>
      </c>
      <c r="K1398" s="575"/>
      <c r="L1398" s="575"/>
      <c r="M1398" s="466">
        <v>14</v>
      </c>
      <c r="N1398" s="469" t="str">
        <f>IF(O1398="tbc","",(IFERROR(EDATE(#REF!,-3),"Invalid procurement method or date entered")))</f>
        <v>Invalid procurement method or date entered</v>
      </c>
      <c r="O1398" s="473">
        <v>45016</v>
      </c>
      <c r="P1398" s="565" t="s">
        <v>125</v>
      </c>
      <c r="Q1398" s="565" t="s">
        <v>125</v>
      </c>
      <c r="R1398" s="472">
        <v>3875549</v>
      </c>
      <c r="S1398" s="473" t="s">
        <v>125</v>
      </c>
      <c r="T1398" s="473" t="s">
        <v>144</v>
      </c>
      <c r="U1398" s="466" t="s">
        <v>125</v>
      </c>
      <c r="V1398" s="481"/>
      <c r="W1398" s="1220" t="s">
        <v>2217</v>
      </c>
    </row>
    <row r="1399" spans="1:31" ht="92.4">
      <c r="A1399" s="852"/>
      <c r="B1399" s="520" t="s">
        <v>48</v>
      </c>
      <c r="C1399" s="466" t="s">
        <v>125</v>
      </c>
      <c r="D1399" s="466" t="s">
        <v>60</v>
      </c>
      <c r="E1399" s="466"/>
      <c r="F1399" s="466"/>
      <c r="G1399" s="466"/>
      <c r="H1399" s="466" t="s">
        <v>127</v>
      </c>
      <c r="I1399" s="474" t="s">
        <v>34</v>
      </c>
      <c r="J1399" s="549" t="s">
        <v>2219</v>
      </c>
      <c r="K1399" s="484"/>
      <c r="L1399" s="484"/>
      <c r="M1399" s="466">
        <v>14</v>
      </c>
      <c r="N1399" s="469" t="str">
        <f>IF(O1399="tbc","",(IFERROR(EDATE(#REF!,-3),"Invalid procurement method or date entered")))</f>
        <v>Invalid procurement method or date entered</v>
      </c>
      <c r="O1399" s="470">
        <v>45016</v>
      </c>
      <c r="P1399" s="485" t="s">
        <v>125</v>
      </c>
      <c r="Q1399" s="485" t="s">
        <v>125</v>
      </c>
      <c r="R1399" s="483">
        <v>1452674</v>
      </c>
      <c r="S1399" s="470" t="s">
        <v>125</v>
      </c>
      <c r="T1399" s="470" t="s">
        <v>144</v>
      </c>
      <c r="U1399" s="466" t="s">
        <v>125</v>
      </c>
      <c r="V1399" s="466"/>
      <c r="W1399" s="486" t="s">
        <v>2217</v>
      </c>
    </row>
    <row r="1400" spans="1:31" ht="92.4">
      <c r="A1400" s="852"/>
      <c r="B1400" s="520" t="s">
        <v>48</v>
      </c>
      <c r="C1400" s="466" t="s">
        <v>125</v>
      </c>
      <c r="D1400" s="466" t="s">
        <v>60</v>
      </c>
      <c r="E1400" s="466"/>
      <c r="F1400" s="466"/>
      <c r="G1400" s="466"/>
      <c r="H1400" s="466" t="s">
        <v>127</v>
      </c>
      <c r="I1400" s="474" t="s">
        <v>34</v>
      </c>
      <c r="J1400" s="549" t="s">
        <v>2220</v>
      </c>
      <c r="K1400" s="484"/>
      <c r="L1400" s="484"/>
      <c r="M1400" s="466">
        <v>14</v>
      </c>
      <c r="N1400" s="469" t="str">
        <f>IF(O1400="tbc","",(IFERROR(EDATE(#REF!,-3),"Invalid procurement method or date entered")))</f>
        <v>Invalid procurement method or date entered</v>
      </c>
      <c r="O1400" s="470">
        <v>45016</v>
      </c>
      <c r="P1400" s="485" t="s">
        <v>125</v>
      </c>
      <c r="Q1400" s="485" t="s">
        <v>125</v>
      </c>
      <c r="R1400" s="483">
        <v>1987900</v>
      </c>
      <c r="S1400" s="470" t="s">
        <v>125</v>
      </c>
      <c r="T1400" s="470" t="s">
        <v>144</v>
      </c>
      <c r="U1400" s="466" t="s">
        <v>125</v>
      </c>
      <c r="V1400" s="466"/>
      <c r="W1400" s="486" t="s">
        <v>2217</v>
      </c>
    </row>
    <row r="1401" spans="1:31" ht="92.4">
      <c r="A1401" s="852"/>
      <c r="B1401" s="520" t="s">
        <v>48</v>
      </c>
      <c r="C1401" s="466" t="s">
        <v>125</v>
      </c>
      <c r="D1401" s="466" t="s">
        <v>60</v>
      </c>
      <c r="E1401" s="466"/>
      <c r="F1401" s="466"/>
      <c r="G1401" s="466"/>
      <c r="H1401" s="466" t="s">
        <v>127</v>
      </c>
      <c r="I1401" s="474" t="s">
        <v>34</v>
      </c>
      <c r="J1401" s="549" t="s">
        <v>2221</v>
      </c>
      <c r="K1401" s="484"/>
      <c r="L1401" s="484"/>
      <c r="M1401" s="466">
        <v>14</v>
      </c>
      <c r="N1401" s="469" t="str">
        <f>IF(O1401="tbc","",(IFERROR(EDATE(#REF!,-3),"Invalid procurement method or date entered")))</f>
        <v>Invalid procurement method or date entered</v>
      </c>
      <c r="O1401" s="470">
        <v>45016</v>
      </c>
      <c r="P1401" s="485" t="s">
        <v>125</v>
      </c>
      <c r="Q1401" s="485" t="s">
        <v>125</v>
      </c>
      <c r="R1401" s="483">
        <v>898000</v>
      </c>
      <c r="S1401" s="470" t="s">
        <v>125</v>
      </c>
      <c r="T1401" s="470" t="s">
        <v>144</v>
      </c>
      <c r="U1401" s="466" t="s">
        <v>125</v>
      </c>
      <c r="V1401" s="466"/>
      <c r="W1401" s="486" t="s">
        <v>2217</v>
      </c>
    </row>
    <row r="1402" spans="1:31" ht="92.4">
      <c r="A1402" s="852"/>
      <c r="B1402" s="520" t="s">
        <v>48</v>
      </c>
      <c r="C1402" s="466" t="s">
        <v>125</v>
      </c>
      <c r="D1402" s="466" t="s">
        <v>60</v>
      </c>
      <c r="E1402" s="466"/>
      <c r="F1402" s="466"/>
      <c r="G1402" s="466"/>
      <c r="H1402" s="466" t="s">
        <v>127</v>
      </c>
      <c r="I1402" s="474" t="s">
        <v>34</v>
      </c>
      <c r="J1402" s="549" t="s">
        <v>2222</v>
      </c>
      <c r="K1402" s="484"/>
      <c r="L1402" s="484"/>
      <c r="M1402" s="466">
        <v>14</v>
      </c>
      <c r="N1402" s="469" t="str">
        <f>IF(O1402="tbc","",(IFERROR(EDATE(#REF!,-3),"Invalid procurement method or date entered")))</f>
        <v>Invalid procurement method or date entered</v>
      </c>
      <c r="O1402" s="470">
        <v>45016</v>
      </c>
      <c r="P1402" s="485" t="s">
        <v>125</v>
      </c>
      <c r="Q1402" s="485" t="s">
        <v>125</v>
      </c>
      <c r="R1402" s="483">
        <v>7895000</v>
      </c>
      <c r="S1402" s="470" t="s">
        <v>125</v>
      </c>
      <c r="T1402" s="470" t="s">
        <v>144</v>
      </c>
      <c r="U1402" s="466" t="s">
        <v>125</v>
      </c>
      <c r="V1402" s="466"/>
      <c r="W1402" s="486" t="s">
        <v>2217</v>
      </c>
    </row>
    <row r="1403" spans="1:31" ht="92.4">
      <c r="A1403" s="852"/>
      <c r="B1403" s="520" t="s">
        <v>48</v>
      </c>
      <c r="C1403" s="466" t="s">
        <v>125</v>
      </c>
      <c r="D1403" s="466" t="s">
        <v>60</v>
      </c>
      <c r="E1403" s="466"/>
      <c r="F1403" s="466"/>
      <c r="G1403" s="466"/>
      <c r="H1403" s="466" t="s">
        <v>127</v>
      </c>
      <c r="I1403" s="474" t="s">
        <v>34</v>
      </c>
      <c r="J1403" s="549" t="s">
        <v>2223</v>
      </c>
      <c r="K1403" s="484"/>
      <c r="L1403" s="484"/>
      <c r="M1403" s="466">
        <v>14</v>
      </c>
      <c r="N1403" s="469" t="str">
        <f>IF(O1403="tbc","",(IFERROR(EDATE(#REF!,-3),"Invalid procurement method or date entered")))</f>
        <v>Invalid procurement method or date entered</v>
      </c>
      <c r="O1403" s="470">
        <v>45016</v>
      </c>
      <c r="P1403" s="485" t="s">
        <v>125</v>
      </c>
      <c r="Q1403" s="485" t="s">
        <v>125</v>
      </c>
      <c r="R1403" s="483">
        <v>5119000</v>
      </c>
      <c r="S1403" s="470" t="s">
        <v>125</v>
      </c>
      <c r="T1403" s="470" t="s">
        <v>144</v>
      </c>
      <c r="U1403" s="466" t="s">
        <v>125</v>
      </c>
      <c r="V1403" s="466"/>
      <c r="W1403" s="486" t="s">
        <v>2217</v>
      </c>
    </row>
    <row r="1404" spans="1:31" ht="92.4">
      <c r="A1404" s="852"/>
      <c r="B1404" s="520" t="s">
        <v>48</v>
      </c>
      <c r="C1404" s="466" t="s">
        <v>125</v>
      </c>
      <c r="D1404" s="466" t="s">
        <v>60</v>
      </c>
      <c r="E1404" s="466"/>
      <c r="F1404" s="466"/>
      <c r="G1404" s="466"/>
      <c r="H1404" s="466" t="s">
        <v>127</v>
      </c>
      <c r="I1404" s="474" t="s">
        <v>34</v>
      </c>
      <c r="J1404" s="549" t="s">
        <v>2224</v>
      </c>
      <c r="K1404" s="484"/>
      <c r="L1404" s="484"/>
      <c r="M1404" s="466">
        <v>14</v>
      </c>
      <c r="N1404" s="469" t="str">
        <f>IF(O1404="tbc","",(IFERROR(EDATE(#REF!,-3),"Invalid procurement method or date entered")))</f>
        <v>Invalid procurement method or date entered</v>
      </c>
      <c r="O1404" s="470">
        <v>45016</v>
      </c>
      <c r="P1404" s="485" t="s">
        <v>125</v>
      </c>
      <c r="Q1404" s="485" t="s">
        <v>125</v>
      </c>
      <c r="R1404" s="483">
        <v>1438000</v>
      </c>
      <c r="S1404" s="470" t="s">
        <v>125</v>
      </c>
      <c r="T1404" s="470" t="s">
        <v>144</v>
      </c>
      <c r="U1404" s="466" t="s">
        <v>125</v>
      </c>
      <c r="V1404" s="466"/>
      <c r="W1404" s="486" t="s">
        <v>2217</v>
      </c>
    </row>
    <row r="1405" spans="1:31" ht="92.4">
      <c r="A1405" s="852"/>
      <c r="B1405" s="520" t="s">
        <v>48</v>
      </c>
      <c r="C1405" s="466" t="s">
        <v>125</v>
      </c>
      <c r="D1405" s="466" t="s">
        <v>60</v>
      </c>
      <c r="E1405" s="466"/>
      <c r="F1405" s="466"/>
      <c r="G1405" s="466"/>
      <c r="H1405" s="466" t="s">
        <v>127</v>
      </c>
      <c r="I1405" s="474" t="s">
        <v>34</v>
      </c>
      <c r="J1405" s="549" t="s">
        <v>2225</v>
      </c>
      <c r="K1405" s="484"/>
      <c r="L1405" s="484"/>
      <c r="M1405" s="466">
        <v>14</v>
      </c>
      <c r="N1405" s="469" t="str">
        <f>IF(O1405="tbc","",(IFERROR(EDATE(#REF!,-3),"Invalid procurement method or date entered")))</f>
        <v>Invalid procurement method or date entered</v>
      </c>
      <c r="O1405" s="470">
        <v>45016</v>
      </c>
      <c r="P1405" s="485" t="s">
        <v>125</v>
      </c>
      <c r="Q1405" s="485" t="s">
        <v>125</v>
      </c>
      <c r="R1405" s="483">
        <v>307000</v>
      </c>
      <c r="S1405" s="470" t="s">
        <v>125</v>
      </c>
      <c r="T1405" s="470" t="s">
        <v>144</v>
      </c>
      <c r="U1405" s="466" t="s">
        <v>125</v>
      </c>
      <c r="V1405" s="466"/>
      <c r="W1405" s="486" t="s">
        <v>2217</v>
      </c>
    </row>
    <row r="1406" spans="1:31" ht="92.4">
      <c r="A1406" s="852"/>
      <c r="B1406" s="520" t="s">
        <v>48</v>
      </c>
      <c r="C1406" s="466" t="s">
        <v>125</v>
      </c>
      <c r="D1406" s="466" t="s">
        <v>60</v>
      </c>
      <c r="E1406" s="466"/>
      <c r="F1406" s="466"/>
      <c r="G1406" s="466"/>
      <c r="H1406" s="466" t="s">
        <v>127</v>
      </c>
      <c r="I1406" s="474" t="s">
        <v>34</v>
      </c>
      <c r="J1406" s="549" t="s">
        <v>2226</v>
      </c>
      <c r="K1406" s="484"/>
      <c r="L1406" s="484"/>
      <c r="M1406" s="466">
        <v>14</v>
      </c>
      <c r="N1406" s="469" t="str">
        <f>IF(O1406="tbc","",(IFERROR(EDATE(#REF!,-3),"Invalid procurement method or date entered")))</f>
        <v>Invalid procurement method or date entered</v>
      </c>
      <c r="O1406" s="470">
        <v>45016</v>
      </c>
      <c r="P1406" s="485" t="s">
        <v>125</v>
      </c>
      <c r="Q1406" s="485" t="s">
        <v>125</v>
      </c>
      <c r="R1406" s="483">
        <v>14338000</v>
      </c>
      <c r="S1406" s="470" t="s">
        <v>125</v>
      </c>
      <c r="T1406" s="470" t="s">
        <v>144</v>
      </c>
      <c r="U1406" s="466" t="s">
        <v>125</v>
      </c>
      <c r="V1406" s="466"/>
      <c r="W1406" s="486" t="s">
        <v>2217</v>
      </c>
    </row>
    <row r="1407" spans="1:31" ht="92.4">
      <c r="A1407" s="852"/>
      <c r="B1407" s="520" t="s">
        <v>48</v>
      </c>
      <c r="C1407" s="466" t="s">
        <v>125</v>
      </c>
      <c r="D1407" s="466" t="s">
        <v>60</v>
      </c>
      <c r="E1407" s="466"/>
      <c r="F1407" s="466"/>
      <c r="G1407" s="466"/>
      <c r="H1407" s="466" t="s">
        <v>127</v>
      </c>
      <c r="I1407" s="474" t="s">
        <v>34</v>
      </c>
      <c r="J1407" s="549" t="s">
        <v>2227</v>
      </c>
      <c r="K1407" s="484"/>
      <c r="L1407" s="484"/>
      <c r="M1407" s="466">
        <v>14</v>
      </c>
      <c r="N1407" s="469" t="str">
        <f>IF(O1407="tbc","",(IFERROR(EDATE(#REF!,-3),"Invalid procurement method or date entered")))</f>
        <v>Invalid procurement method or date entered</v>
      </c>
      <c r="O1407" s="470">
        <v>45016</v>
      </c>
      <c r="P1407" s="485" t="s">
        <v>125</v>
      </c>
      <c r="Q1407" s="485" t="s">
        <v>125</v>
      </c>
      <c r="R1407" s="483">
        <v>1000000</v>
      </c>
      <c r="S1407" s="470" t="s">
        <v>125</v>
      </c>
      <c r="T1407" s="470" t="s">
        <v>144</v>
      </c>
      <c r="U1407" s="466" t="s">
        <v>125</v>
      </c>
      <c r="V1407" s="466"/>
      <c r="W1407" s="486" t="s">
        <v>2217</v>
      </c>
    </row>
    <row r="1408" spans="1:31" ht="92.4">
      <c r="A1408" s="852"/>
      <c r="B1408" s="520" t="s">
        <v>48</v>
      </c>
      <c r="C1408" s="466" t="s">
        <v>125</v>
      </c>
      <c r="D1408" s="466" t="s">
        <v>60</v>
      </c>
      <c r="E1408" s="466"/>
      <c r="F1408" s="466"/>
      <c r="G1408" s="466"/>
      <c r="H1408" s="466" t="s">
        <v>127</v>
      </c>
      <c r="I1408" s="474" t="s">
        <v>34</v>
      </c>
      <c r="J1408" s="549" t="s">
        <v>2228</v>
      </c>
      <c r="K1408" s="484"/>
      <c r="L1408" s="484"/>
      <c r="M1408" s="466">
        <v>14</v>
      </c>
      <c r="N1408" s="469" t="str">
        <f>IF(O1408="tbc","",(IFERROR(EDATE(#REF!,-3),"Invalid procurement method or date entered")))</f>
        <v>Invalid procurement method or date entered</v>
      </c>
      <c r="O1408" s="470">
        <v>45016</v>
      </c>
      <c r="P1408" s="485" t="s">
        <v>125</v>
      </c>
      <c r="Q1408" s="485" t="s">
        <v>125</v>
      </c>
      <c r="R1408" s="483">
        <v>2600000</v>
      </c>
      <c r="S1408" s="470" t="s">
        <v>125</v>
      </c>
      <c r="T1408" s="470" t="s">
        <v>144</v>
      </c>
      <c r="U1408" s="466" t="s">
        <v>125</v>
      </c>
      <c r="V1408" s="466"/>
      <c r="W1408" s="486" t="s">
        <v>2217</v>
      </c>
    </row>
    <row r="1409" spans="1:32" ht="66">
      <c r="A1409" s="852"/>
      <c r="B1409" s="520" t="s">
        <v>48</v>
      </c>
      <c r="C1409" s="465" t="s">
        <v>125</v>
      </c>
      <c r="D1409" s="466" t="s">
        <v>60</v>
      </c>
      <c r="E1409" s="466"/>
      <c r="F1409" s="466"/>
      <c r="G1409" s="466"/>
      <c r="H1409" s="466" t="s">
        <v>127</v>
      </c>
      <c r="I1409" s="474" t="s">
        <v>34</v>
      </c>
      <c r="J1409" s="1024" t="s">
        <v>2504</v>
      </c>
      <c r="K1409" s="744"/>
      <c r="L1409" s="466">
        <v>3</v>
      </c>
      <c r="M1409" s="468">
        <v>44306</v>
      </c>
      <c r="N1409" s="469" t="str">
        <f>IF(O1409="tbc","",(IFERROR(EDATE(O1409,-L1409),"Invalid procurement method or date entered")))</f>
        <v/>
      </c>
      <c r="O1409" s="470" t="s">
        <v>125</v>
      </c>
      <c r="P1409" s="471" t="s">
        <v>125</v>
      </c>
      <c r="Q1409" s="483" t="s">
        <v>125</v>
      </c>
      <c r="R1409" s="483">
        <v>250000</v>
      </c>
      <c r="S1409" s="470" t="s">
        <v>129</v>
      </c>
      <c r="T1409" s="470" t="s">
        <v>36</v>
      </c>
      <c r="U1409" s="466" t="s">
        <v>125</v>
      </c>
      <c r="V1409" s="466"/>
      <c r="W1409" s="476" t="s">
        <v>41</v>
      </c>
    </row>
    <row r="1410" spans="1:32" ht="66">
      <c r="A1410" s="852"/>
      <c r="B1410" s="520" t="s">
        <v>48</v>
      </c>
      <c r="C1410" s="465" t="s">
        <v>2382</v>
      </c>
      <c r="D1410" s="466" t="s">
        <v>60</v>
      </c>
      <c r="E1410" s="466"/>
      <c r="F1410" s="466"/>
      <c r="G1410" s="466"/>
      <c r="H1410" s="466" t="s">
        <v>127</v>
      </c>
      <c r="I1410" s="465" t="s">
        <v>34</v>
      </c>
      <c r="J1410" s="1025" t="s">
        <v>2383</v>
      </c>
      <c r="K1410" s="1115"/>
      <c r="L1410" s="466">
        <v>3</v>
      </c>
      <c r="M1410" s="469">
        <v>44382</v>
      </c>
      <c r="N1410" s="466" t="s">
        <v>2384</v>
      </c>
      <c r="O1410" s="594">
        <v>1145003</v>
      </c>
      <c r="P1410" s="470" t="s">
        <v>129</v>
      </c>
      <c r="Q1410" s="490" t="s">
        <v>43</v>
      </c>
      <c r="R1410" s="483" t="s">
        <v>43</v>
      </c>
      <c r="S1410" s="474" t="s">
        <v>1133</v>
      </c>
      <c r="T1410" s="465" t="s">
        <v>1338</v>
      </c>
      <c r="U1410" s="470" t="s">
        <v>175</v>
      </c>
      <c r="V1410" s="470"/>
      <c r="W1410" s="744"/>
    </row>
    <row r="1411" spans="1:32" ht="66">
      <c r="A1411" s="852"/>
      <c r="B1411" s="520" t="s">
        <v>48</v>
      </c>
      <c r="C1411" s="465" t="s">
        <v>2387</v>
      </c>
      <c r="D1411" s="466" t="s">
        <v>60</v>
      </c>
      <c r="E1411" s="466"/>
      <c r="F1411" s="466"/>
      <c r="G1411" s="466"/>
      <c r="H1411" s="466" t="s">
        <v>127</v>
      </c>
      <c r="I1411" s="465" t="s">
        <v>34</v>
      </c>
      <c r="J1411" s="1025" t="s">
        <v>2388</v>
      </c>
      <c r="K1411" s="1115"/>
      <c r="L1411" s="469">
        <v>44340</v>
      </c>
      <c r="M1411" s="469">
        <v>44396</v>
      </c>
      <c r="N1411" s="466">
        <v>1</v>
      </c>
      <c r="O1411" s="597">
        <v>286613.27</v>
      </c>
      <c r="P1411" s="470" t="s">
        <v>129</v>
      </c>
      <c r="Q1411" s="490" t="s">
        <v>43</v>
      </c>
      <c r="R1411" s="483" t="s">
        <v>43</v>
      </c>
      <c r="S1411" s="474" t="s">
        <v>1133</v>
      </c>
      <c r="T1411" s="492" t="s">
        <v>275</v>
      </c>
      <c r="U1411" s="595" t="s">
        <v>175</v>
      </c>
      <c r="V1411" s="595"/>
      <c r="W1411" s="744"/>
    </row>
    <row r="1412" spans="1:32" ht="66">
      <c r="A1412" s="852"/>
      <c r="B1412" s="520" t="s">
        <v>48</v>
      </c>
      <c r="C1412" s="465" t="s">
        <v>2385</v>
      </c>
      <c r="D1412" s="466" t="s">
        <v>60</v>
      </c>
      <c r="E1412" s="466"/>
      <c r="F1412" s="466"/>
      <c r="G1412" s="466"/>
      <c r="H1412" s="466" t="s">
        <v>127</v>
      </c>
      <c r="I1412" s="465" t="s">
        <v>34</v>
      </c>
      <c r="J1412" s="1025" t="s">
        <v>2386</v>
      </c>
      <c r="K1412" s="1115"/>
      <c r="L1412" s="469">
        <v>44354</v>
      </c>
      <c r="M1412" s="469">
        <v>44428</v>
      </c>
      <c r="N1412" s="466">
        <v>1</v>
      </c>
      <c r="O1412" s="596">
        <v>246222.65</v>
      </c>
      <c r="P1412" s="470" t="s">
        <v>129</v>
      </c>
      <c r="Q1412" s="490" t="s">
        <v>100</v>
      </c>
      <c r="R1412" s="483" t="s">
        <v>100</v>
      </c>
      <c r="S1412" s="474" t="s">
        <v>1133</v>
      </c>
      <c r="T1412" s="465" t="s">
        <v>275</v>
      </c>
      <c r="U1412" s="466" t="s">
        <v>175</v>
      </c>
      <c r="V1412" s="466"/>
      <c r="W1412" s="744"/>
    </row>
    <row r="1413" spans="1:32" ht="234.6">
      <c r="A1413" s="921" t="s">
        <v>43</v>
      </c>
      <c r="B1413" s="620" t="s">
        <v>28</v>
      </c>
      <c r="C1413" s="641"/>
      <c r="D1413" s="628" t="s">
        <v>44</v>
      </c>
      <c r="E1413" s="628"/>
      <c r="F1413" s="628"/>
      <c r="G1413" s="628"/>
      <c r="H1413" s="627" t="s">
        <v>4413</v>
      </c>
      <c r="I1413" s="627" t="s">
        <v>34</v>
      </c>
      <c r="J1413" s="1048" t="s">
        <v>4414</v>
      </c>
      <c r="K1413" s="707"/>
      <c r="L1413" s="628"/>
      <c r="M1413" s="651">
        <v>44585</v>
      </c>
      <c r="N1413" s="651" t="str">
        <f>IFERROR(EDATE(O1413,-L1413),"Invalid procurement method or date entered")</f>
        <v>Invalid procurement method or date entered</v>
      </c>
      <c r="O1413" s="708" t="s">
        <v>35</v>
      </c>
      <c r="P1413" s="628"/>
      <c r="Q1413" s="685"/>
      <c r="R1413" s="653"/>
      <c r="S1413" s="628" t="s">
        <v>46</v>
      </c>
      <c r="T1413" s="628" t="s">
        <v>37</v>
      </c>
      <c r="U1413" s="641" t="s">
        <v>37</v>
      </c>
      <c r="V1413" s="642"/>
      <c r="W1413" s="627" t="s">
        <v>234</v>
      </c>
      <c r="X1413" s="669" t="s">
        <v>47</v>
      </c>
      <c r="Y1413" s="669" t="s">
        <v>39</v>
      </c>
      <c r="Z1413" s="669" t="s">
        <v>37</v>
      </c>
      <c r="AA1413" s="669"/>
      <c r="AB1413" s="840">
        <v>44797</v>
      </c>
      <c r="AC1413" s="707" t="s">
        <v>4415</v>
      </c>
      <c r="AD1413" s="669" t="s">
        <v>45</v>
      </c>
      <c r="AE1413" s="684"/>
      <c r="AF1413" s="691"/>
    </row>
    <row r="1414" spans="1:32" ht="409.6">
      <c r="A1414" s="852"/>
      <c r="B1414" s="520" t="s">
        <v>48</v>
      </c>
      <c r="C1414" s="494">
        <v>46474</v>
      </c>
      <c r="D1414" s="495" t="s">
        <v>29</v>
      </c>
      <c r="E1414" s="495"/>
      <c r="F1414" s="495"/>
      <c r="G1414" s="495"/>
      <c r="H1414" s="495" t="s">
        <v>49</v>
      </c>
      <c r="I1414" s="498" t="s">
        <v>34</v>
      </c>
      <c r="J1414" s="1266" t="s">
        <v>2520</v>
      </c>
      <c r="L1414" s="469" t="e">
        <f>IF(#REF!="tbc","",(IFERROR(EDATE($N1414,-3),"Invalid procurement method or date entered")))</f>
        <v>#REF!</v>
      </c>
      <c r="M1414" s="497">
        <v>44593</v>
      </c>
      <c r="N1414" s="758">
        <v>1420000</v>
      </c>
      <c r="O1414" s="495" t="s">
        <v>1097</v>
      </c>
      <c r="P1414" s="499" t="s">
        <v>1264</v>
      </c>
      <c r="Q1414" s="1214" t="s">
        <v>40</v>
      </c>
      <c r="R1414" s="618" t="s">
        <v>41</v>
      </c>
      <c r="S1414" s="1298">
        <v>44685</v>
      </c>
      <c r="U1414" s="821"/>
      <c r="V1414" s="1243"/>
      <c r="W1414" s="821"/>
      <c r="Y1414" s="570" t="s">
        <v>2521</v>
      </c>
    </row>
    <row r="1415" spans="1:32" s="691" customFormat="1" ht="52.8">
      <c r="A1415" s="902"/>
      <c r="B1415" s="715" t="s">
        <v>48</v>
      </c>
      <c r="C1415" s="465"/>
      <c r="D1415" s="554" t="s">
        <v>60</v>
      </c>
      <c r="E1415" s="554"/>
      <c r="F1415" s="554"/>
      <c r="G1415" s="554"/>
      <c r="H1415" s="466" t="s">
        <v>127</v>
      </c>
      <c r="I1415" s="465" t="s">
        <v>34</v>
      </c>
      <c r="J1415" s="1025" t="s">
        <v>2293</v>
      </c>
      <c r="K1415" s="488"/>
      <c r="L1415" s="466">
        <v>12</v>
      </c>
      <c r="M1415" s="469" t="str">
        <f t="shared" ref="M1415:M1422" si="31">IF(O1415="tbc","",(IFERROR(EDATE($N1415,-3),"Invalid procurement method or date entered")))</f>
        <v/>
      </c>
      <c r="N1415" s="469" t="str">
        <f t="shared" ref="N1415:N1422" si="32">IF(O1415="tbc","",(IFERROR(EDATE(O1415,-L1415),"Invalid procurement method or date entered")))</f>
        <v/>
      </c>
      <c r="O1415" s="489" t="s">
        <v>125</v>
      </c>
      <c r="P1415" s="763" t="s">
        <v>125</v>
      </c>
      <c r="Q1415" s="613" t="s">
        <v>125</v>
      </c>
      <c r="R1415" s="782">
        <v>50000</v>
      </c>
      <c r="S1415" s="792" t="s">
        <v>173</v>
      </c>
      <c r="T1415" s="470"/>
      <c r="U1415" s="470" t="s">
        <v>125</v>
      </c>
      <c r="V1415" s="470"/>
      <c r="W1415" s="465" t="s">
        <v>2190</v>
      </c>
      <c r="X1415" s="114"/>
      <c r="Y1415" s="821"/>
      <c r="Z1415" s="114"/>
      <c r="AA1415" s="114"/>
      <c r="AB1415" s="114"/>
      <c r="AC1415" s="180"/>
      <c r="AD1415" s="297"/>
      <c r="AE1415" s="297"/>
      <c r="AF1415"/>
    </row>
    <row r="1416" spans="1:32" s="691" customFormat="1" ht="52.8">
      <c r="A1416" s="902"/>
      <c r="B1416" s="715" t="s">
        <v>48</v>
      </c>
      <c r="C1416" s="465"/>
      <c r="D1416" s="554" t="s">
        <v>60</v>
      </c>
      <c r="E1416" s="554"/>
      <c r="F1416" s="554"/>
      <c r="G1416" s="554"/>
      <c r="H1416" s="466" t="s">
        <v>127</v>
      </c>
      <c r="I1416" s="465" t="s">
        <v>34</v>
      </c>
      <c r="J1416" s="1025" t="s">
        <v>2294</v>
      </c>
      <c r="K1416" s="488"/>
      <c r="L1416" s="466">
        <v>12</v>
      </c>
      <c r="M1416" s="469" t="str">
        <f t="shared" si="31"/>
        <v/>
      </c>
      <c r="N1416" s="469" t="str">
        <f t="shared" si="32"/>
        <v/>
      </c>
      <c r="O1416" s="489" t="s">
        <v>125</v>
      </c>
      <c r="P1416" s="763" t="s">
        <v>125</v>
      </c>
      <c r="Q1416" s="613" t="s">
        <v>125</v>
      </c>
      <c r="R1416" s="782">
        <v>125000</v>
      </c>
      <c r="S1416" s="792" t="s">
        <v>173</v>
      </c>
      <c r="T1416" s="470"/>
      <c r="U1416" s="470" t="s">
        <v>125</v>
      </c>
      <c r="V1416" s="470"/>
      <c r="W1416" s="465" t="s">
        <v>2190</v>
      </c>
      <c r="X1416" s="114"/>
      <c r="Y1416" s="114"/>
      <c r="Z1416" s="114"/>
      <c r="AA1416" s="303"/>
      <c r="AB1416" s="114"/>
      <c r="AC1416" s="180"/>
      <c r="AD1416" s="297"/>
      <c r="AE1416" s="297"/>
      <c r="AF1416"/>
    </row>
    <row r="1417" spans="1:32" s="691" customFormat="1" ht="52.8">
      <c r="A1417" s="902"/>
      <c r="B1417" s="713" t="s">
        <v>48</v>
      </c>
      <c r="C1417" s="465"/>
      <c r="D1417" s="466" t="s">
        <v>60</v>
      </c>
      <c r="E1417" s="466"/>
      <c r="F1417" s="466"/>
      <c r="G1417" s="466"/>
      <c r="H1417" s="466" t="s">
        <v>127</v>
      </c>
      <c r="I1417" s="465" t="s">
        <v>34</v>
      </c>
      <c r="J1417" s="1025" t="s">
        <v>2295</v>
      </c>
      <c r="K1417" s="488"/>
      <c r="L1417" s="466">
        <v>12</v>
      </c>
      <c r="M1417" s="469" t="str">
        <f t="shared" si="31"/>
        <v/>
      </c>
      <c r="N1417" s="469" t="str">
        <f t="shared" si="32"/>
        <v/>
      </c>
      <c r="O1417" s="489" t="s">
        <v>125</v>
      </c>
      <c r="P1417" s="490" t="s">
        <v>125</v>
      </c>
      <c r="Q1417" s="490" t="s">
        <v>125</v>
      </c>
      <c r="R1417" s="782">
        <v>52000</v>
      </c>
      <c r="S1417" s="470" t="s">
        <v>173</v>
      </c>
      <c r="T1417" s="470"/>
      <c r="U1417" s="470" t="s">
        <v>125</v>
      </c>
      <c r="V1417" s="470"/>
      <c r="W1417" s="465" t="s">
        <v>2190</v>
      </c>
      <c r="X1417" s="114"/>
      <c r="Y1417" s="114"/>
      <c r="Z1417" s="180"/>
      <c r="AA1417" s="114"/>
      <c r="AB1417" s="303"/>
      <c r="AC1417" s="180"/>
      <c r="AD1417" s="297"/>
      <c r="AE1417" s="297"/>
      <c r="AF1417"/>
    </row>
    <row r="1418" spans="1:32" s="691" customFormat="1" ht="52.8">
      <c r="A1418" s="902"/>
      <c r="B1418" s="713" t="s">
        <v>48</v>
      </c>
      <c r="C1418" s="465" t="s">
        <v>125</v>
      </c>
      <c r="D1418" s="466" t="s">
        <v>60</v>
      </c>
      <c r="E1418" s="466"/>
      <c r="F1418" s="466"/>
      <c r="G1418" s="466"/>
      <c r="H1418" s="466" t="s">
        <v>127</v>
      </c>
      <c r="I1418" s="474" t="s">
        <v>34</v>
      </c>
      <c r="J1418" s="1024" t="s">
        <v>2317</v>
      </c>
      <c r="K1418" s="467"/>
      <c r="L1418" s="466">
        <v>12</v>
      </c>
      <c r="M1418" s="469" t="str">
        <f t="shared" si="31"/>
        <v/>
      </c>
      <c r="N1418" s="469" t="str">
        <f t="shared" si="32"/>
        <v/>
      </c>
      <c r="O1418" s="470" t="s">
        <v>125</v>
      </c>
      <c r="P1418" s="471">
        <v>9</v>
      </c>
      <c r="Q1418" s="471">
        <v>9</v>
      </c>
      <c r="R1418" s="782">
        <v>600000</v>
      </c>
      <c r="S1418" s="470" t="s">
        <v>173</v>
      </c>
      <c r="T1418" s="470" t="s">
        <v>144</v>
      </c>
      <c r="U1418" s="470" t="s">
        <v>125</v>
      </c>
      <c r="V1418" s="470"/>
      <c r="W1418" s="590" t="s">
        <v>1304</v>
      </c>
      <c r="X1418" s="114"/>
      <c r="Y1418" s="114"/>
      <c r="Z1418" s="180"/>
      <c r="AA1418" s="114"/>
      <c r="AB1418" s="297"/>
      <c r="AC1418" s="180"/>
      <c r="AD1418" s="297"/>
      <c r="AE1418" s="297"/>
      <c r="AF1418"/>
    </row>
    <row r="1419" spans="1:32" s="691" customFormat="1" ht="52.8">
      <c r="A1419" s="902"/>
      <c r="B1419" s="713" t="s">
        <v>48</v>
      </c>
      <c r="C1419" s="465" t="s">
        <v>125</v>
      </c>
      <c r="D1419" s="466" t="s">
        <v>60</v>
      </c>
      <c r="E1419" s="466"/>
      <c r="F1419" s="466"/>
      <c r="G1419" s="466"/>
      <c r="H1419" s="466" t="s">
        <v>127</v>
      </c>
      <c r="I1419" s="474" t="s">
        <v>34</v>
      </c>
      <c r="J1419" s="1024" t="s">
        <v>2318</v>
      </c>
      <c r="K1419" s="467"/>
      <c r="L1419" s="466">
        <v>12</v>
      </c>
      <c r="M1419" s="469" t="str">
        <f t="shared" si="31"/>
        <v/>
      </c>
      <c r="N1419" s="469" t="str">
        <f t="shared" si="32"/>
        <v/>
      </c>
      <c r="O1419" s="470" t="s">
        <v>125</v>
      </c>
      <c r="P1419" s="471" t="s">
        <v>125</v>
      </c>
      <c r="Q1419" s="471" t="s">
        <v>125</v>
      </c>
      <c r="R1419" s="782" t="s">
        <v>125</v>
      </c>
      <c r="S1419" s="470" t="s">
        <v>66</v>
      </c>
      <c r="T1419" s="470" t="s">
        <v>125</v>
      </c>
      <c r="U1419" s="470" t="s">
        <v>125</v>
      </c>
      <c r="V1419" s="470"/>
      <c r="W1419" s="513" t="s">
        <v>1304</v>
      </c>
      <c r="X1419" s="114"/>
      <c r="Y1419" s="114"/>
      <c r="Z1419" s="180"/>
      <c r="AA1419" s="114"/>
      <c r="AB1419" s="297"/>
      <c r="AC1419" s="180"/>
      <c r="AD1419" s="297"/>
      <c r="AE1419" s="297"/>
      <c r="AF1419"/>
    </row>
    <row r="1420" spans="1:32" s="691" customFormat="1" ht="52.8">
      <c r="A1420" s="902"/>
      <c r="B1420" s="713" t="s">
        <v>48</v>
      </c>
      <c r="C1420" s="465" t="s">
        <v>125</v>
      </c>
      <c r="D1420" s="466" t="s">
        <v>60</v>
      </c>
      <c r="E1420" s="466"/>
      <c r="F1420" s="466"/>
      <c r="G1420" s="466"/>
      <c r="H1420" s="466" t="s">
        <v>127</v>
      </c>
      <c r="I1420" s="474" t="s">
        <v>34</v>
      </c>
      <c r="J1420" s="1024" t="s">
        <v>2317</v>
      </c>
      <c r="K1420" s="467"/>
      <c r="L1420" s="466">
        <v>12</v>
      </c>
      <c r="M1420" s="469" t="str">
        <f t="shared" si="31"/>
        <v/>
      </c>
      <c r="N1420" s="469" t="str">
        <f t="shared" si="32"/>
        <v/>
      </c>
      <c r="O1420" s="470" t="s">
        <v>125</v>
      </c>
      <c r="P1420" s="471">
        <v>9</v>
      </c>
      <c r="Q1420" s="471">
        <v>9</v>
      </c>
      <c r="R1420" s="782">
        <v>600000</v>
      </c>
      <c r="S1420" s="470" t="s">
        <v>173</v>
      </c>
      <c r="T1420" s="470" t="s">
        <v>144</v>
      </c>
      <c r="U1420" s="470" t="s">
        <v>125</v>
      </c>
      <c r="V1420" s="470"/>
      <c r="W1420" s="590" t="s">
        <v>1304</v>
      </c>
      <c r="X1420" s="114"/>
      <c r="Y1420" s="114"/>
      <c r="Z1420" s="180"/>
      <c r="AA1420" s="114"/>
      <c r="AB1420" s="297"/>
      <c r="AC1420" s="180"/>
      <c r="AD1420" s="297"/>
      <c r="AE1420" s="297"/>
      <c r="AF1420"/>
    </row>
    <row r="1421" spans="1:32" s="691" customFormat="1" ht="52.8">
      <c r="A1421" s="902"/>
      <c r="B1421" s="713" t="s">
        <v>48</v>
      </c>
      <c r="C1421" s="465" t="s">
        <v>125</v>
      </c>
      <c r="D1421" s="466" t="s">
        <v>60</v>
      </c>
      <c r="E1421" s="466"/>
      <c r="F1421" s="466"/>
      <c r="G1421" s="466"/>
      <c r="H1421" s="466" t="s">
        <v>127</v>
      </c>
      <c r="I1421" s="474" t="s">
        <v>34</v>
      </c>
      <c r="J1421" s="1024" t="s">
        <v>2443</v>
      </c>
      <c r="K1421" s="744"/>
      <c r="L1421" s="466">
        <v>14</v>
      </c>
      <c r="M1421" s="469" t="str">
        <f t="shared" si="31"/>
        <v/>
      </c>
      <c r="N1421" s="469" t="str">
        <f t="shared" si="32"/>
        <v/>
      </c>
      <c r="O1421" s="470" t="s">
        <v>125</v>
      </c>
      <c r="P1421" s="471" t="s">
        <v>125</v>
      </c>
      <c r="Q1421" s="471" t="s">
        <v>125</v>
      </c>
      <c r="R1421" s="782" t="s">
        <v>125</v>
      </c>
      <c r="S1421" s="470" t="s">
        <v>125</v>
      </c>
      <c r="T1421" s="470" t="s">
        <v>125</v>
      </c>
      <c r="U1421" s="470" t="s">
        <v>125</v>
      </c>
      <c r="V1421" s="470"/>
      <c r="W1421" s="513" t="s">
        <v>1304</v>
      </c>
      <c r="X1421" s="114"/>
      <c r="Y1421" s="114"/>
      <c r="Z1421" s="180"/>
      <c r="AA1421" s="114"/>
      <c r="AB1421" s="297"/>
      <c r="AC1421" s="180"/>
      <c r="AD1421" s="297"/>
      <c r="AE1421" s="297"/>
      <c r="AF1421"/>
    </row>
    <row r="1422" spans="1:32" s="691" customFormat="1" ht="52.8">
      <c r="A1422" s="902"/>
      <c r="B1422" s="713" t="s">
        <v>48</v>
      </c>
      <c r="C1422" s="465" t="s">
        <v>125</v>
      </c>
      <c r="D1422" s="466" t="s">
        <v>60</v>
      </c>
      <c r="E1422" s="466"/>
      <c r="F1422" s="466"/>
      <c r="G1422" s="466"/>
      <c r="H1422" s="466" t="s">
        <v>127</v>
      </c>
      <c r="I1422" s="474" t="s">
        <v>34</v>
      </c>
      <c r="J1422" s="549" t="s">
        <v>2479</v>
      </c>
      <c r="K1422" s="484"/>
      <c r="L1422" s="466">
        <v>12</v>
      </c>
      <c r="M1422" s="469" t="str">
        <f t="shared" si="31"/>
        <v/>
      </c>
      <c r="N1422" s="469" t="str">
        <f t="shared" si="32"/>
        <v/>
      </c>
      <c r="O1422" s="469" t="s">
        <v>125</v>
      </c>
      <c r="P1422" s="491" t="s">
        <v>125</v>
      </c>
      <c r="Q1422" s="491" t="s">
        <v>125</v>
      </c>
      <c r="R1422" s="783">
        <v>1500000</v>
      </c>
      <c r="S1422" s="491" t="s">
        <v>173</v>
      </c>
      <c r="T1422" s="491" t="s">
        <v>144</v>
      </c>
      <c r="U1422" s="469" t="s">
        <v>125</v>
      </c>
      <c r="V1422" s="469"/>
      <c r="W1422" s="354" t="s">
        <v>41</v>
      </c>
      <c r="X1422" s="114"/>
      <c r="Y1422" s="114"/>
      <c r="Z1422" s="180"/>
      <c r="AA1422" s="114"/>
      <c r="AB1422" s="303"/>
      <c r="AC1422" s="180"/>
      <c r="AD1422" s="297"/>
      <c r="AE1422" s="297"/>
      <c r="AF1422"/>
    </row>
    <row r="1423" spans="1:32" s="691" customFormat="1" ht="179.4">
      <c r="A1423" s="645"/>
      <c r="B1423" s="966" t="s">
        <v>48</v>
      </c>
      <c r="C1423" s="967" t="s">
        <v>125</v>
      </c>
      <c r="D1423" s="965" t="s">
        <v>223</v>
      </c>
      <c r="E1423" s="965"/>
      <c r="F1423" s="965"/>
      <c r="G1423" s="965"/>
      <c r="H1423" s="670"/>
      <c r="I1423" s="974" t="s">
        <v>49</v>
      </c>
      <c r="J1423" s="1267" t="s">
        <v>34</v>
      </c>
      <c r="K1423" s="970" t="s">
        <v>4416</v>
      </c>
      <c r="L1423" s="971">
        <v>44835</v>
      </c>
      <c r="M1423" s="966" t="s">
        <v>392</v>
      </c>
      <c r="N1423" s="625" t="s">
        <v>35</v>
      </c>
      <c r="O1423" s="969"/>
      <c r="P1423" s="957" t="s">
        <v>41</v>
      </c>
      <c r="Q1423" s="1289">
        <v>44866</v>
      </c>
      <c r="R1423" s="1293" t="s">
        <v>1132</v>
      </c>
      <c r="S1423" s="1299"/>
      <c r="T1423" s="881"/>
      <c r="U1423" s="954"/>
      <c r="V1423" s="1322"/>
      <c r="W1423" s="959" t="s">
        <v>1130</v>
      </c>
      <c r="X1423" s="1305" t="s">
        <v>125</v>
      </c>
      <c r="Y1423" s="1305"/>
      <c r="Z1423" s="954"/>
      <c r="AA1423" s="1307"/>
      <c r="AB1423" s="954"/>
      <c r="AC1423" s="1311"/>
      <c r="AD1423" s="1317"/>
      <c r="AE1423" s="954"/>
      <c r="AF1423" s="693"/>
    </row>
    <row r="1424" spans="1:32" s="691" customFormat="1" ht="72">
      <c r="A1424" s="1328"/>
      <c r="B1424" s="1067"/>
      <c r="C1424" s="429" t="s">
        <v>35</v>
      </c>
      <c r="D1424" s="1086" t="s">
        <v>29</v>
      </c>
      <c r="E1424" s="1086"/>
      <c r="F1424" s="1086"/>
      <c r="G1424" s="1086"/>
      <c r="H1424" s="55" t="s">
        <v>176</v>
      </c>
      <c r="I1424" s="270" t="s">
        <v>168</v>
      </c>
      <c r="J1424" s="262" t="s">
        <v>382</v>
      </c>
      <c r="K1424" s="1112"/>
      <c r="L1424" s="270" t="e">
        <f>IF(OR(S1424=#REF!,S1424=#REF!,S1424=#REF!,S1424=#REF!,S1424=#REF!,S1424=#REF!,S1424=#REF!,S1424=#REF!),12,IF(OR(S1424=#REF!,S1424=#REF!,S1424=#REF!,S1424=#REF!,S1424=#REF!,S1424=#REF!,S1424=#REF!),3,IF(S1424=#REF!,1,IF(S1424=#REF!,18,IF(OR(S1424=#REF!,S1424=#REF!,S1424=#REF!,S1424=#REF!,S1424=#REF!),14,"Invalid proposed procurement method")))))</f>
        <v>#REF!</v>
      </c>
      <c r="M1424" s="1282" t="str">
        <f>IFERROR(EDATE($N1424,-3),"Invalid procurement method or date entered")</f>
        <v>Invalid procurement method or date entered</v>
      </c>
      <c r="N1424" s="271" t="str">
        <f>IFERROR(EDATE(O1424,-L1424),"Invalid procurement method or date entered")</f>
        <v>Invalid procurement method or date entered</v>
      </c>
      <c r="O1424" s="271" t="s">
        <v>35</v>
      </c>
      <c r="P1424" s="270">
        <v>120</v>
      </c>
      <c r="Q1424" s="270" t="s">
        <v>846</v>
      </c>
      <c r="R1424" s="273">
        <v>130000</v>
      </c>
      <c r="S1424" s="270" t="s">
        <v>35</v>
      </c>
      <c r="T1424" s="1301" t="s">
        <v>36</v>
      </c>
      <c r="U1424" s="1301" t="s">
        <v>37</v>
      </c>
      <c r="V1424" s="1323"/>
      <c r="W1424" s="270" t="s">
        <v>384</v>
      </c>
      <c r="X1424" s="5" t="s">
        <v>1088</v>
      </c>
      <c r="Y1424" s="270" t="s">
        <v>457</v>
      </c>
      <c r="Z1424" s="270"/>
      <c r="AA1424" s="270" t="s">
        <v>41</v>
      </c>
      <c r="AB1424" s="271" t="s">
        <v>1250</v>
      </c>
      <c r="AC1424" s="95" t="s">
        <v>4417</v>
      </c>
      <c r="AD1424" s="1316" t="s">
        <v>220</v>
      </c>
      <c r="AE1424" s="290"/>
      <c r="AF1424"/>
    </row>
    <row r="1425" spans="1:44" s="691" customFormat="1" ht="72">
      <c r="A1425" s="1328"/>
      <c r="B1425" s="303"/>
      <c r="C1425" s="4" t="s">
        <v>194</v>
      </c>
      <c r="D1425" s="9" t="s">
        <v>29</v>
      </c>
      <c r="E1425" s="9"/>
      <c r="F1425" s="9"/>
      <c r="G1425" s="9"/>
      <c r="H1425" s="5" t="s">
        <v>70</v>
      </c>
      <c r="I1425" s="15" t="s">
        <v>50</v>
      </c>
      <c r="J1425" s="16" t="s">
        <v>1343</v>
      </c>
      <c r="K1425" s="16"/>
      <c r="L1425" s="5" t="e">
        <f>IF(OR(S1425=#REF!,S1425=#REF!,S1425=#REF!,S1425=#REF!,S1425=#REF!,S1425=#REF!,S1425=#REF!,S1425=#REF!),12,IF(OR(S1425=#REF!,S1425=#REF!,S1425=#REF!,S1425=#REF!,S1425=#REF!,S1425=#REF!,S1425=#REF!),3,IF(S1425=#REF!,1,IF(S1425=#REF!,18,IF(OR(S1425=#REF!,S1425=#REF!,S1425=#REF!,S1425=#REF!,S1425=#REF!),14,"Invalid proposed procurement method")))))</f>
        <v>#REF!</v>
      </c>
      <c r="M1425" s="193" t="str">
        <f>IFERROR(EDATE($N1425,-3),"Invalid procurement method or date entered")</f>
        <v>Invalid procurement method or date entered</v>
      </c>
      <c r="N1425" s="193" t="str">
        <f>IFERROR(EDATE(O1425,-L1425),"Invalid procurement method or date entered")</f>
        <v>Invalid procurement method or date entered</v>
      </c>
      <c r="O1425" s="46" t="s">
        <v>35</v>
      </c>
      <c r="P1425" s="12">
        <v>50</v>
      </c>
      <c r="Q1425" s="5" t="s">
        <v>3609</v>
      </c>
      <c r="R1425" s="202">
        <v>55000</v>
      </c>
      <c r="S1425" s="5" t="s">
        <v>53</v>
      </c>
      <c r="T1425" s="11" t="s">
        <v>54</v>
      </c>
      <c r="U1425" s="15" t="s">
        <v>37</v>
      </c>
      <c r="V1425" s="15"/>
      <c r="W1425" s="9" t="s">
        <v>4418</v>
      </c>
      <c r="X1425" s="5" t="s">
        <v>1088</v>
      </c>
      <c r="Y1425" s="5" t="s">
        <v>457</v>
      </c>
      <c r="Z1425" s="26" t="s">
        <v>40</v>
      </c>
      <c r="AA1425" s="15"/>
      <c r="AB1425" s="193">
        <v>44344</v>
      </c>
      <c r="AC1425" s="102" t="s">
        <v>4419</v>
      </c>
      <c r="AD1425" s="270" t="s">
        <v>74</v>
      </c>
      <c r="AE1425" s="1481"/>
      <c r="AF1425"/>
    </row>
    <row r="1426" spans="1:44" s="691" customFormat="1" ht="72">
      <c r="A1426" s="1328"/>
      <c r="B1426" s="1370"/>
      <c r="C1426" s="429" t="s">
        <v>35</v>
      </c>
      <c r="D1426" s="1086" t="s">
        <v>29</v>
      </c>
      <c r="E1426" s="1086"/>
      <c r="F1426" s="1086"/>
      <c r="G1426" s="1086"/>
      <c r="H1426" s="55" t="s">
        <v>70</v>
      </c>
      <c r="I1426" s="270" t="s">
        <v>34</v>
      </c>
      <c r="J1426" s="1361" t="s">
        <v>1217</v>
      </c>
      <c r="K1426" s="1482"/>
      <c r="L1426" s="270">
        <v>3</v>
      </c>
      <c r="M1426" s="1282" t="str">
        <f>IFERROR(EDATE($N1426,-3),"Invalid procurement method or date entered")</f>
        <v>Invalid procurement method or date entered</v>
      </c>
      <c r="N1426" s="271" t="str">
        <f>IFERROR(EDATE(O1426,-L1426),"Invalid procurement method or date entered")</f>
        <v>Invalid procurement method or date entered</v>
      </c>
      <c r="O1426" s="1483" t="s">
        <v>4420</v>
      </c>
      <c r="P1426" s="1484">
        <v>12</v>
      </c>
      <c r="Q1426" s="1484">
        <v>12</v>
      </c>
      <c r="R1426" s="1485">
        <v>2016</v>
      </c>
      <c r="S1426" s="1333" t="s">
        <v>909</v>
      </c>
      <c r="T1426" s="1484" t="s">
        <v>1218</v>
      </c>
      <c r="U1426" s="1484" t="s">
        <v>37</v>
      </c>
      <c r="V1426" s="1486"/>
      <c r="W1426" s="270" t="s">
        <v>113</v>
      </c>
      <c r="X1426" s="1330" t="s">
        <v>73</v>
      </c>
      <c r="Y1426" s="1484" t="s">
        <v>59</v>
      </c>
      <c r="Z1426" s="270" t="s">
        <v>95</v>
      </c>
      <c r="AA1426" s="270" t="s">
        <v>54</v>
      </c>
      <c r="AB1426" s="271" t="s">
        <v>1269</v>
      </c>
      <c r="AC1426" s="1472" t="s">
        <v>3930</v>
      </c>
      <c r="AD1426" s="1315" t="s">
        <v>114</v>
      </c>
      <c r="AE1426" s="273"/>
      <c r="AF1426"/>
    </row>
    <row r="1427" spans="1:44" s="691" customFormat="1" ht="72">
      <c r="A1427" s="1328"/>
      <c r="B1427" s="1487"/>
      <c r="C1427" s="209" t="s">
        <v>622</v>
      </c>
      <c r="D1427" s="1263" t="s">
        <v>29</v>
      </c>
      <c r="E1427" s="1263"/>
      <c r="F1427" s="1263"/>
      <c r="G1427" s="1263"/>
      <c r="H1427" s="86" t="s">
        <v>119</v>
      </c>
      <c r="I1427" s="86" t="s">
        <v>53</v>
      </c>
      <c r="J1427" s="97" t="s">
        <v>623</v>
      </c>
      <c r="K1427" s="83"/>
      <c r="L1427" s="86" t="e">
        <f>IF(OR(S1427=#REF!,S1427=#REF!,S1427=#REF!,S1427=#REF!,S1427=#REF!,S1427=#REF!,S1427=#REF!,S1427=#REF!),12,IF(OR(S1427=#REF!,S1427=#REF!,S1427=#REF!,S1427=#REF!,S1427=#REF!,S1427=#REF!,S1427=#REF!),3,IF(S1427=#REF!,1,IF(S1427=#REF!,18,IF(OR(S1427=#REF!,S1427=#REF!,S1427=#REF!,S1427=#REF!,S1427=#REF!),14,"Invalid proposed procurement method")))))</f>
        <v>#REF!</v>
      </c>
      <c r="M1427" s="211" t="str">
        <f>IFERROR(EDATE($N1427,-3),"Invalid procurement method or date entered")</f>
        <v>Invalid procurement method or date entered</v>
      </c>
      <c r="N1427" s="211" t="str">
        <f>IFERROR(EDATE(O1427,-L1427),"Invalid procurement method or date entered")</f>
        <v>Invalid procurement method or date entered</v>
      </c>
      <c r="O1427" s="211" t="s">
        <v>35</v>
      </c>
      <c r="P1427" s="99" t="s">
        <v>35</v>
      </c>
      <c r="Q1427" s="1165" t="s">
        <v>35</v>
      </c>
      <c r="R1427" s="1195" t="s">
        <v>35</v>
      </c>
      <c r="S1427" s="86" t="s">
        <v>53</v>
      </c>
      <c r="T1427" s="235" t="s">
        <v>54</v>
      </c>
      <c r="U1427" s="85" t="s">
        <v>37</v>
      </c>
      <c r="V1427" s="85"/>
      <c r="W1427" s="86" t="s">
        <v>624</v>
      </c>
      <c r="X1427" s="86" t="s">
        <v>68</v>
      </c>
      <c r="Y1427" s="86" t="s">
        <v>457</v>
      </c>
      <c r="Z1427" s="86" t="s">
        <v>40</v>
      </c>
      <c r="AA1427" s="86" t="s">
        <v>54</v>
      </c>
      <c r="AB1427" s="211" t="s">
        <v>1253</v>
      </c>
      <c r="AC1427" s="1247" t="s">
        <v>4421</v>
      </c>
      <c r="AD1427" s="1165" t="s">
        <v>42</v>
      </c>
      <c r="AE1427" s="1259"/>
      <c r="AF1427"/>
    </row>
    <row r="1428" spans="1:44" s="693" customFormat="1" ht="86.4">
      <c r="A1428" s="238"/>
      <c r="B1428" s="716" t="s">
        <v>28</v>
      </c>
      <c r="C1428" s="4" t="s">
        <v>4422</v>
      </c>
      <c r="D1428" s="31" t="s">
        <v>29</v>
      </c>
      <c r="E1428" s="31"/>
      <c r="F1428" s="31"/>
      <c r="G1428" s="31"/>
      <c r="H1428" s="30" t="s">
        <v>171</v>
      </c>
      <c r="I1428" s="5" t="s">
        <v>4423</v>
      </c>
      <c r="J1428" s="16" t="s">
        <v>4424</v>
      </c>
      <c r="K1428" s="16"/>
      <c r="L1428" s="16"/>
      <c r="M1428" s="14" t="s">
        <v>35</v>
      </c>
      <c r="N1428" s="14"/>
      <c r="O1428" s="14" t="s">
        <v>35</v>
      </c>
      <c r="P1428" s="5" t="s">
        <v>35</v>
      </c>
      <c r="Q1428" s="25" t="s">
        <v>35</v>
      </c>
      <c r="R1428" s="273"/>
      <c r="S1428" s="30" t="s">
        <v>426</v>
      </c>
      <c r="T1428" s="1300" t="s">
        <v>54</v>
      </c>
      <c r="U1428" s="168"/>
      <c r="V1428" s="168"/>
      <c r="W1428" s="5" t="s">
        <v>90</v>
      </c>
      <c r="X1428" s="9" t="s">
        <v>1088</v>
      </c>
      <c r="Y1428" s="5" t="s">
        <v>457</v>
      </c>
      <c r="Z1428" s="5"/>
      <c r="AA1428" s="5"/>
      <c r="AB1428" s="193"/>
      <c r="AC1428" s="8" t="s">
        <v>4425</v>
      </c>
      <c r="AD1428" s="180"/>
      <c r="AE1428" s="290"/>
      <c r="AF1428"/>
    </row>
    <row r="1429" spans="1:44" s="691" customFormat="1" ht="57.6">
      <c r="A1429" s="903"/>
      <c r="B1429" s="716" t="s">
        <v>28</v>
      </c>
      <c r="C1429" s="4"/>
      <c r="D1429" s="112" t="s">
        <v>60</v>
      </c>
      <c r="E1429" s="112"/>
      <c r="F1429" s="112"/>
      <c r="G1429" s="112"/>
      <c r="H1429" s="30" t="s">
        <v>2602</v>
      </c>
      <c r="I1429" s="5" t="s">
        <v>34</v>
      </c>
      <c r="J1429" s="16" t="s">
        <v>3010</v>
      </c>
      <c r="K1429" s="16"/>
      <c r="L1429" s="16"/>
      <c r="M1429" s="176" t="s">
        <v>35</v>
      </c>
      <c r="N1429" s="176"/>
      <c r="O1429" s="176" t="s">
        <v>35</v>
      </c>
      <c r="P1429" s="12" t="s">
        <v>35</v>
      </c>
      <c r="Q1429" s="25" t="s">
        <v>35</v>
      </c>
      <c r="R1429" s="273" t="s">
        <v>35</v>
      </c>
      <c r="S1429" s="30" t="s">
        <v>53</v>
      </c>
      <c r="T1429" s="30" t="s">
        <v>54</v>
      </c>
      <c r="U1429" s="168"/>
      <c r="V1429" s="168"/>
      <c r="W1429" s="5" t="s">
        <v>4426</v>
      </c>
      <c r="X1429" s="43" t="s">
        <v>35</v>
      </c>
      <c r="Y1429" s="5" t="s">
        <v>39</v>
      </c>
      <c r="Z1429" s="5"/>
      <c r="AA1429" s="5"/>
      <c r="AB1429" s="193">
        <v>43739</v>
      </c>
      <c r="AC1429" s="8" t="s">
        <v>4427</v>
      </c>
      <c r="AD1429" s="1314"/>
      <c r="AE1429" s="315"/>
      <c r="AF1429"/>
    </row>
    <row r="1430" spans="1:44" s="691" customFormat="1" ht="66">
      <c r="A1430" s="902"/>
      <c r="B1430" s="715" t="s">
        <v>48</v>
      </c>
      <c r="C1430" s="466" t="s">
        <v>125</v>
      </c>
      <c r="D1430" s="554" t="s">
        <v>60</v>
      </c>
      <c r="E1430" s="554"/>
      <c r="F1430" s="554"/>
      <c r="G1430" s="554"/>
      <c r="H1430" s="554" t="s">
        <v>127</v>
      </c>
      <c r="I1430" s="474" t="s">
        <v>34</v>
      </c>
      <c r="J1430" s="549" t="s">
        <v>2505</v>
      </c>
      <c r="K1430" s="744"/>
      <c r="L1430" s="466">
        <v>3</v>
      </c>
      <c r="M1430" s="468" t="s">
        <v>125</v>
      </c>
      <c r="N1430" s="469" t="str">
        <f t="shared" ref="N1430:N1437" si="33">IF(O1430="tbc","",(IFERROR(EDATE(O1430,-L1430),"Invalid procurement method or date entered")))</f>
        <v/>
      </c>
      <c r="O1430" s="470" t="s">
        <v>125</v>
      </c>
      <c r="P1430" s="471">
        <v>3</v>
      </c>
      <c r="Q1430" s="761">
        <v>3</v>
      </c>
      <c r="R1430" s="614">
        <v>147000</v>
      </c>
      <c r="S1430" s="792" t="s">
        <v>129</v>
      </c>
      <c r="T1430" s="792" t="s">
        <v>36</v>
      </c>
      <c r="U1430" s="475" t="s">
        <v>59</v>
      </c>
      <c r="V1430" s="475"/>
      <c r="W1430" s="476" t="s">
        <v>41</v>
      </c>
      <c r="X1430" s="114"/>
      <c r="Y1430" s="114"/>
      <c r="Z1430" s="114"/>
      <c r="AA1430" s="114"/>
      <c r="AB1430" s="114"/>
      <c r="AC1430" s="180"/>
      <c r="AD1430" s="180"/>
      <c r="AE1430" s="297"/>
      <c r="AF1430"/>
    </row>
    <row r="1431" spans="1:44" ht="66">
      <c r="A1431" s="902"/>
      <c r="B1431" s="713" t="s">
        <v>48</v>
      </c>
      <c r="C1431" s="465" t="s">
        <v>125</v>
      </c>
      <c r="D1431" s="466" t="s">
        <v>214</v>
      </c>
      <c r="E1431" s="466"/>
      <c r="F1431" s="466"/>
      <c r="G1431" s="466"/>
      <c r="H1431" s="466" t="s">
        <v>127</v>
      </c>
      <c r="I1431" s="608" t="s">
        <v>34</v>
      </c>
      <c r="J1431" s="1025" t="s">
        <v>2508</v>
      </c>
      <c r="K1431" s="543"/>
      <c r="L1431" s="561">
        <v>3</v>
      </c>
      <c r="M1431" s="1285" t="s">
        <v>125</v>
      </c>
      <c r="N1431" s="1140" t="str">
        <f t="shared" si="33"/>
        <v/>
      </c>
      <c r="O1431" s="1287" t="s">
        <v>125</v>
      </c>
      <c r="P1431" s="1288">
        <v>1</v>
      </c>
      <c r="Q1431" s="1288">
        <v>1</v>
      </c>
      <c r="R1431" s="1294">
        <v>62400</v>
      </c>
      <c r="S1431" s="593" t="s">
        <v>129</v>
      </c>
      <c r="T1431" s="593" t="s">
        <v>43</v>
      </c>
      <c r="U1431" s="586" t="s">
        <v>155</v>
      </c>
      <c r="V1431" s="586"/>
      <c r="W1431" s="476" t="s">
        <v>41</v>
      </c>
      <c r="X1431" s="114"/>
      <c r="Y1431" s="114"/>
      <c r="Z1431" s="114"/>
      <c r="AA1431" s="180"/>
      <c r="AB1431" s="114"/>
      <c r="AC1431" s="114"/>
      <c r="AD1431" s="1246"/>
      <c r="AE1431" s="297"/>
    </row>
    <row r="1432" spans="1:44" s="691" customFormat="1" ht="118.8">
      <c r="A1432" s="902"/>
      <c r="B1432" s="1069" t="s">
        <v>48</v>
      </c>
      <c r="C1432" s="1074" t="s">
        <v>125</v>
      </c>
      <c r="D1432" s="1073" t="s">
        <v>214</v>
      </c>
      <c r="E1432" s="1073"/>
      <c r="F1432" s="1073"/>
      <c r="G1432" s="1073"/>
      <c r="H1432" s="1073" t="s">
        <v>127</v>
      </c>
      <c r="I1432" s="562" t="s">
        <v>34</v>
      </c>
      <c r="J1432" s="1268" t="s">
        <v>2509</v>
      </c>
      <c r="K1432" s="1273"/>
      <c r="L1432" s="609">
        <v>3</v>
      </c>
      <c r="M1432" s="1283" t="s">
        <v>125</v>
      </c>
      <c r="N1432" s="611" t="str">
        <f t="shared" si="33"/>
        <v/>
      </c>
      <c r="O1432" s="612" t="s">
        <v>125</v>
      </c>
      <c r="P1432" s="613">
        <v>1</v>
      </c>
      <c r="Q1432" s="613">
        <v>1</v>
      </c>
      <c r="R1432" s="614">
        <f>22444+178223+96728+150284+48856+329561+41430</f>
        <v>867526</v>
      </c>
      <c r="S1432" s="615" t="s">
        <v>129</v>
      </c>
      <c r="T1432" s="615" t="s">
        <v>43</v>
      </c>
      <c r="U1432" s="616" t="s">
        <v>155</v>
      </c>
      <c r="V1432" s="616"/>
      <c r="W1432" s="617" t="s">
        <v>41</v>
      </c>
      <c r="X1432" s="1213"/>
      <c r="Y1432" s="297"/>
      <c r="Z1432" s="297"/>
      <c r="AA1432" s="297"/>
      <c r="AB1432" s="297"/>
      <c r="AC1432" s="297"/>
      <c r="AD1432" s="297"/>
      <c r="AE1432"/>
      <c r="AF1432" s="297"/>
    </row>
    <row r="1433" spans="1:44" s="691" customFormat="1" ht="52.8">
      <c r="A1433" s="902"/>
      <c r="B1433" s="1069" t="s">
        <v>48</v>
      </c>
      <c r="C1433" s="1074" t="s">
        <v>125</v>
      </c>
      <c r="D1433" s="1073" t="s">
        <v>60</v>
      </c>
      <c r="E1433" s="1073"/>
      <c r="F1433" s="1073"/>
      <c r="G1433" s="1073"/>
      <c r="H1433" s="1073" t="s">
        <v>127</v>
      </c>
      <c r="I1433" s="479" t="s">
        <v>34</v>
      </c>
      <c r="J1433" s="1105" t="s">
        <v>2510</v>
      </c>
      <c r="K1433" s="737"/>
      <c r="L1433" s="609">
        <v>3</v>
      </c>
      <c r="M1433" s="1283" t="s">
        <v>125</v>
      </c>
      <c r="N1433" s="611" t="str">
        <f t="shared" si="33"/>
        <v/>
      </c>
      <c r="O1433" s="615" t="s">
        <v>125</v>
      </c>
      <c r="P1433" s="764" t="s">
        <v>125</v>
      </c>
      <c r="Q1433" s="764" t="s">
        <v>125</v>
      </c>
      <c r="R1433" s="614">
        <v>150000</v>
      </c>
      <c r="S1433" s="615" t="s">
        <v>217</v>
      </c>
      <c r="T1433" s="615" t="s">
        <v>36</v>
      </c>
      <c r="U1433" s="616" t="s">
        <v>59</v>
      </c>
      <c r="V1433" s="616"/>
      <c r="W1433" s="617" t="s">
        <v>41</v>
      </c>
      <c r="X1433" s="1213"/>
      <c r="Y1433" s="1224"/>
      <c r="Z1433" s="297"/>
      <c r="AA1433" s="297"/>
      <c r="AB1433" s="297"/>
      <c r="AC1433" s="297"/>
      <c r="AD1433" s="1224"/>
      <c r="AE1433" s="297"/>
      <c r="AF1433" s="297"/>
    </row>
    <row r="1434" spans="1:44" s="691" customFormat="1" ht="66">
      <c r="A1434" s="902"/>
      <c r="B1434" s="715" t="s">
        <v>48</v>
      </c>
      <c r="C1434" s="466" t="s">
        <v>125</v>
      </c>
      <c r="D1434" s="554" t="s">
        <v>214</v>
      </c>
      <c r="E1434" s="1073"/>
      <c r="F1434" s="1073"/>
      <c r="G1434" s="1073"/>
      <c r="H1434" s="1073" t="s">
        <v>127</v>
      </c>
      <c r="I1434" s="474" t="s">
        <v>34</v>
      </c>
      <c r="J1434" s="549" t="s">
        <v>2514</v>
      </c>
      <c r="K1434" s="744"/>
      <c r="L1434" s="466">
        <v>1</v>
      </c>
      <c r="M1434" s="468" t="s">
        <v>125</v>
      </c>
      <c r="N1434" s="469" t="str">
        <f t="shared" si="33"/>
        <v/>
      </c>
      <c r="O1434" s="469" t="s">
        <v>125</v>
      </c>
      <c r="P1434" s="491">
        <v>2</v>
      </c>
      <c r="Q1434" s="491">
        <v>2</v>
      </c>
      <c r="R1434" s="1296">
        <v>150000</v>
      </c>
      <c r="S1434" s="615" t="s">
        <v>129</v>
      </c>
      <c r="T1434" s="792" t="s">
        <v>36</v>
      </c>
      <c r="U1434" s="1302" t="s">
        <v>59</v>
      </c>
      <c r="V1434" s="1302"/>
      <c r="W1434" s="476" t="s">
        <v>41</v>
      </c>
      <c r="X1434" s="114"/>
      <c r="Y1434" s="180"/>
      <c r="Z1434" s="823"/>
      <c r="AA1434" s="303"/>
      <c r="AB1434" s="114"/>
      <c r="AC1434" s="180"/>
      <c r="AD1434" s="114"/>
      <c r="AE1434" s="180"/>
      <c r="AF1434" s="953"/>
    </row>
    <row r="1435" spans="1:44" s="691" customFormat="1" ht="52.8">
      <c r="A1435" s="902"/>
      <c r="B1435" s="1069" t="s">
        <v>48</v>
      </c>
      <c r="C1435" s="1074" t="s">
        <v>125</v>
      </c>
      <c r="D1435" s="1073" t="s">
        <v>214</v>
      </c>
      <c r="E1435" s="1073"/>
      <c r="F1435" s="1073"/>
      <c r="G1435" s="1073"/>
      <c r="H1435" s="1073" t="s">
        <v>127</v>
      </c>
      <c r="I1435" s="481" t="s">
        <v>34</v>
      </c>
      <c r="J1435" s="1268" t="s">
        <v>2516</v>
      </c>
      <c r="K1435" s="1277"/>
      <c r="L1435" s="609">
        <v>1</v>
      </c>
      <c r="M1435" s="1283" t="s">
        <v>125</v>
      </c>
      <c r="N1435" s="611" t="str">
        <f t="shared" si="33"/>
        <v/>
      </c>
      <c r="O1435" s="612" t="s">
        <v>125</v>
      </c>
      <c r="P1435" s="773" t="s">
        <v>125</v>
      </c>
      <c r="Q1435" s="773" t="s">
        <v>125</v>
      </c>
      <c r="R1435" s="614" t="s">
        <v>125</v>
      </c>
      <c r="S1435" s="615" t="s">
        <v>163</v>
      </c>
      <c r="T1435" s="615" t="s">
        <v>36</v>
      </c>
      <c r="U1435" s="616" t="s">
        <v>59</v>
      </c>
      <c r="V1435" s="616"/>
      <c r="W1435" s="617" t="s">
        <v>41</v>
      </c>
      <c r="X1435" s="114"/>
      <c r="Y1435" s="297"/>
      <c r="Z1435" s="297"/>
      <c r="AA1435" s="297"/>
      <c r="AB1435" s="297"/>
      <c r="AC1435" s="297"/>
      <c r="AD1435" s="1237"/>
      <c r="AE1435" s="297"/>
      <c r="AF1435" s="953"/>
    </row>
    <row r="1436" spans="1:44" s="692" customFormat="1" ht="52.8">
      <c r="A1436" s="902"/>
      <c r="B1436" s="715" t="s">
        <v>48</v>
      </c>
      <c r="C1436" s="465" t="s">
        <v>125</v>
      </c>
      <c r="D1436" s="554" t="s">
        <v>60</v>
      </c>
      <c r="E1436" s="609"/>
      <c r="F1436" s="1073"/>
      <c r="G1436" s="1073"/>
      <c r="H1436" s="466" t="s">
        <v>127</v>
      </c>
      <c r="I1436" s="474" t="s">
        <v>34</v>
      </c>
      <c r="J1436" s="549" t="s">
        <v>2518</v>
      </c>
      <c r="K1436" s="746"/>
      <c r="L1436" s="466">
        <v>14</v>
      </c>
      <c r="M1436" s="468" t="s">
        <v>125</v>
      </c>
      <c r="N1436" s="469" t="str">
        <f t="shared" si="33"/>
        <v/>
      </c>
      <c r="O1436" s="469" t="s">
        <v>125</v>
      </c>
      <c r="P1436" s="765" t="s">
        <v>125</v>
      </c>
      <c r="Q1436" s="773" t="s">
        <v>125</v>
      </c>
      <c r="R1436" s="783">
        <v>400000</v>
      </c>
      <c r="S1436" s="796" t="s">
        <v>125</v>
      </c>
      <c r="T1436" s="491" t="s">
        <v>36</v>
      </c>
      <c r="U1436" s="475" t="s">
        <v>59</v>
      </c>
      <c r="V1436" s="475"/>
      <c r="W1436" s="476" t="s">
        <v>41</v>
      </c>
      <c r="X1436" s="114"/>
      <c r="Y1436" s="114"/>
      <c r="Z1436" s="114"/>
      <c r="AA1436" s="114"/>
      <c r="AB1436" s="1237"/>
      <c r="AC1436" s="180"/>
      <c r="AD1436" s="297"/>
      <c r="AE1436" s="297"/>
      <c r="AF1436"/>
      <c r="AG1436" s="691"/>
      <c r="AH1436" s="691"/>
      <c r="AI1436" s="691"/>
      <c r="AJ1436" s="691"/>
      <c r="AK1436" s="691"/>
      <c r="AL1436" s="691"/>
      <c r="AM1436" s="691"/>
      <c r="AN1436" s="691"/>
      <c r="AO1436" s="691"/>
      <c r="AP1436" s="691"/>
      <c r="AQ1436" s="691"/>
      <c r="AR1436" s="691"/>
    </row>
    <row r="1437" spans="1:44" s="691" customFormat="1" ht="132">
      <c r="A1437" s="902"/>
      <c r="B1437" s="715" t="s">
        <v>48</v>
      </c>
      <c r="C1437" s="465" t="s">
        <v>125</v>
      </c>
      <c r="D1437" s="554" t="s">
        <v>214</v>
      </c>
      <c r="E1437" s="609"/>
      <c r="F1437" s="1073"/>
      <c r="G1437" s="1073"/>
      <c r="H1437" s="466" t="s">
        <v>127</v>
      </c>
      <c r="I1437" s="465" t="s">
        <v>34</v>
      </c>
      <c r="J1437" s="1025" t="s">
        <v>2519</v>
      </c>
      <c r="K1437" s="543"/>
      <c r="L1437" s="466">
        <v>3</v>
      </c>
      <c r="M1437" s="468" t="s">
        <v>125</v>
      </c>
      <c r="N1437" s="469" t="str">
        <f t="shared" si="33"/>
        <v/>
      </c>
      <c r="O1437" s="489" t="s">
        <v>125</v>
      </c>
      <c r="P1437" s="763">
        <v>1</v>
      </c>
      <c r="Q1437" s="613">
        <v>1</v>
      </c>
      <c r="R1437" s="782">
        <f>20000+20000+15000+50000+80000</f>
        <v>185000</v>
      </c>
      <c r="S1437" s="792" t="s">
        <v>129</v>
      </c>
      <c r="T1437" s="470" t="s">
        <v>43</v>
      </c>
      <c r="U1437" s="475" t="s">
        <v>155</v>
      </c>
      <c r="V1437" s="475"/>
      <c r="W1437" s="476" t="s">
        <v>41</v>
      </c>
      <c r="X1437" s="114"/>
      <c r="Y1437" s="114"/>
      <c r="Z1437" s="114"/>
      <c r="AA1437" s="114"/>
      <c r="AB1437" s="114"/>
      <c r="AC1437" s="180"/>
      <c r="AD1437" s="297"/>
      <c r="AE1437" s="297"/>
      <c r="AF1437"/>
    </row>
    <row r="1438" spans="1:44" s="691" customFormat="1" ht="52.8">
      <c r="A1438" s="902"/>
      <c r="B1438" s="715" t="s">
        <v>48</v>
      </c>
      <c r="C1438" s="465" t="s">
        <v>125</v>
      </c>
      <c r="D1438" s="554" t="s">
        <v>82</v>
      </c>
      <c r="E1438" s="609"/>
      <c r="F1438" s="554"/>
      <c r="G1438" s="554"/>
      <c r="H1438" s="466" t="s">
        <v>49</v>
      </c>
      <c r="I1438" s="465" t="s">
        <v>34</v>
      </c>
      <c r="J1438" s="1050" t="s">
        <v>2523</v>
      </c>
      <c r="K1438" s="744"/>
      <c r="L1438" s="466">
        <v>12</v>
      </c>
      <c r="M1438" s="468" t="s">
        <v>35</v>
      </c>
      <c r="N1438" s="469" t="s">
        <v>35</v>
      </c>
      <c r="O1438" s="489" t="s">
        <v>35</v>
      </c>
      <c r="P1438" s="763">
        <v>3</v>
      </c>
      <c r="Q1438" s="613">
        <v>3</v>
      </c>
      <c r="R1438" s="782">
        <v>331727</v>
      </c>
      <c r="S1438" s="792" t="s">
        <v>173</v>
      </c>
      <c r="T1438" s="470" t="s">
        <v>36</v>
      </c>
      <c r="U1438" s="475" t="s">
        <v>59</v>
      </c>
      <c r="V1438" s="475"/>
      <c r="W1438" s="476" t="s">
        <v>41</v>
      </c>
      <c r="X1438" s="114"/>
      <c r="Y1438" s="114"/>
      <c r="Z1438" s="114"/>
      <c r="AA1438" s="114"/>
      <c r="AB1438" s="114"/>
      <c r="AC1438" s="180"/>
      <c r="AD1438" s="297"/>
      <c r="AE1438" s="297"/>
    </row>
    <row r="1439" spans="1:44" s="691" customFormat="1" ht="55.2">
      <c r="A1439" s="645"/>
      <c r="B1439" s="633" t="s">
        <v>48</v>
      </c>
      <c r="C1439" s="634" t="s">
        <v>125</v>
      </c>
      <c r="D1439" s="635" t="s">
        <v>214</v>
      </c>
      <c r="E1439" s="658"/>
      <c r="F1439" s="965"/>
      <c r="G1439" s="965"/>
      <c r="H1439" s="636" t="s">
        <v>127</v>
      </c>
      <c r="I1439" s="637" t="s">
        <v>34</v>
      </c>
      <c r="J1439" s="1047" t="s">
        <v>4428</v>
      </c>
      <c r="K1439" s="637"/>
      <c r="L1439" s="638">
        <v>3</v>
      </c>
      <c r="M1439" s="639" t="s">
        <v>125</v>
      </c>
      <c r="N1439" s="630" t="str">
        <f>IF(O1439="tbc","",(IFERROR(EDATE(O1439,-L1439),"Invalid procurement method or date entered")))</f>
        <v/>
      </c>
      <c r="O1439" s="647" t="s">
        <v>125</v>
      </c>
      <c r="P1439" s="648">
        <v>1</v>
      </c>
      <c r="Q1439" s="983">
        <v>1</v>
      </c>
      <c r="R1439" s="643">
        <v>244000</v>
      </c>
      <c r="S1439" s="956" t="s">
        <v>129</v>
      </c>
      <c r="T1439" s="656" t="s">
        <v>43</v>
      </c>
      <c r="U1439" s="629" t="s">
        <v>100</v>
      </c>
      <c r="V1439" s="629"/>
      <c r="W1439" s="637" t="s">
        <v>558</v>
      </c>
      <c r="X1439" s="638" t="s">
        <v>35</v>
      </c>
      <c r="Y1439" s="649" t="s">
        <v>155</v>
      </c>
      <c r="Z1439" s="640" t="s">
        <v>95</v>
      </c>
      <c r="AA1439" s="620" t="s">
        <v>41</v>
      </c>
      <c r="AB1439" s="650">
        <v>44670</v>
      </c>
      <c r="AC1439" s="946" t="s">
        <v>4429</v>
      </c>
      <c r="AD1439" s="699"/>
      <c r="AE1439" s="699"/>
    </row>
    <row r="1440" spans="1:44" s="691" customFormat="1" ht="193.2">
      <c r="A1440" s="710"/>
      <c r="B1440" s="672" t="s">
        <v>48</v>
      </c>
      <c r="C1440" s="673" t="s">
        <v>125</v>
      </c>
      <c r="D1440" s="674" t="s">
        <v>214</v>
      </c>
      <c r="E1440" s="905"/>
      <c r="F1440" s="1082"/>
      <c r="G1440" s="1082"/>
      <c r="H1440" s="675" t="s">
        <v>127</v>
      </c>
      <c r="I1440" s="673" t="s">
        <v>34</v>
      </c>
      <c r="J1440" s="1054" t="s">
        <v>4430</v>
      </c>
      <c r="K1440" s="673"/>
      <c r="L1440" s="675">
        <v>3</v>
      </c>
      <c r="M1440" s="676" t="s">
        <v>125</v>
      </c>
      <c r="N1440" s="677" t="str">
        <f>IF(O1440="tbc","",(IFERROR(EDATE(O1440,-L1440),"Invalid procurement method or date entered")))</f>
        <v/>
      </c>
      <c r="O1440" s="678" t="s">
        <v>125</v>
      </c>
      <c r="P1440" s="679">
        <v>1</v>
      </c>
      <c r="Q1440" s="680">
        <v>1</v>
      </c>
      <c r="R1440" s="709" t="s">
        <v>125</v>
      </c>
      <c r="S1440" s="711" t="s">
        <v>46</v>
      </c>
      <c r="T1440" s="681" t="s">
        <v>43</v>
      </c>
      <c r="U1440" s="681" t="s">
        <v>100</v>
      </c>
      <c r="V1440" s="681"/>
      <c r="W1440" s="673" t="s">
        <v>233</v>
      </c>
      <c r="X1440" s="675" t="s">
        <v>47</v>
      </c>
      <c r="Y1440" s="682" t="s">
        <v>155</v>
      </c>
      <c r="Z1440" s="682" t="s">
        <v>40</v>
      </c>
      <c r="AA1440" s="683" t="s">
        <v>41</v>
      </c>
      <c r="AB1440" s="1309">
        <v>44903</v>
      </c>
      <c r="AC1440" s="949" t="s">
        <v>4431</v>
      </c>
      <c r="AD1440" s="904"/>
      <c r="AE1440" s="904"/>
    </row>
    <row r="1441" spans="1:51" s="1059" customFormat="1" ht="52.8">
      <c r="A1441" s="902"/>
      <c r="B1441" s="1069" t="s">
        <v>48</v>
      </c>
      <c r="C1441" s="1074"/>
      <c r="D1441" s="1073" t="s">
        <v>60</v>
      </c>
      <c r="E1441" s="609"/>
      <c r="F1441" s="1073"/>
      <c r="G1441" s="1073"/>
      <c r="H1441" s="481" t="s">
        <v>127</v>
      </c>
      <c r="I1441" s="739" t="s">
        <v>34</v>
      </c>
      <c r="J1441" s="1027" t="s">
        <v>496</v>
      </c>
      <c r="K1441" s="1113"/>
      <c r="L1441" s="1124" t="s">
        <v>1627</v>
      </c>
      <c r="M1441" s="1134"/>
      <c r="N1441" s="1124"/>
      <c r="O1441" s="1124" t="s">
        <v>1636</v>
      </c>
      <c r="P1441" s="764" t="s">
        <v>1637</v>
      </c>
      <c r="Q1441" s="764"/>
      <c r="R1441" s="781">
        <v>2772000</v>
      </c>
      <c r="S1441" s="798" t="s">
        <v>125</v>
      </c>
      <c r="T1441" s="615" t="s">
        <v>54</v>
      </c>
      <c r="U1441" s="615"/>
      <c r="V1441" s="1324"/>
      <c r="W1441" s="609" t="s">
        <v>1638</v>
      </c>
      <c r="X1441" s="297"/>
      <c r="Y1441" s="297"/>
      <c r="Z1441" s="297"/>
      <c r="AA1441" s="1224"/>
      <c r="AB1441" s="297"/>
      <c r="AC1441" s="297"/>
      <c r="AD1441" s="1131"/>
      <c r="AE1441" s="297"/>
      <c r="AF1441"/>
      <c r="AG1441" s="950"/>
      <c r="AH1441" s="950"/>
      <c r="AI1441" s="950"/>
      <c r="AJ1441" s="950"/>
      <c r="AK1441" s="950"/>
      <c r="AL1441" s="950"/>
      <c r="AM1441" s="950"/>
      <c r="AN1441" s="950"/>
      <c r="AO1441" s="950"/>
      <c r="AP1441" s="950"/>
      <c r="AQ1441" s="950"/>
      <c r="AR1441" s="950"/>
      <c r="AS1441" s="950"/>
      <c r="AT1441" s="950"/>
      <c r="AU1441" s="950"/>
      <c r="AV1441" s="950"/>
      <c r="AW1441" s="950"/>
      <c r="AX1441" s="950"/>
      <c r="AY1441" s="950"/>
    </row>
    <row r="1442" spans="1:51" s="1059" customFormat="1" ht="69">
      <c r="A1442" s="1062"/>
      <c r="B1442" s="991" t="s">
        <v>48</v>
      </c>
      <c r="C1442" s="1077" t="s">
        <v>1462</v>
      </c>
      <c r="D1442" s="1084" t="s">
        <v>29</v>
      </c>
      <c r="E1442" s="1084"/>
      <c r="F1442" s="1084"/>
      <c r="G1442" s="1084"/>
      <c r="H1442" s="1084" t="s">
        <v>49</v>
      </c>
      <c r="I1442" s="995" t="s">
        <v>34</v>
      </c>
      <c r="J1442" s="1104" t="s">
        <v>1463</v>
      </c>
      <c r="K1442" s="1275"/>
      <c r="L1442" s="760" t="s">
        <v>1464</v>
      </c>
      <c r="M1442" s="1127"/>
      <c r="N1442" s="1127"/>
      <c r="O1442" s="1127" t="s">
        <v>1465</v>
      </c>
      <c r="P1442" s="1149">
        <v>1</v>
      </c>
      <c r="Q1442" s="1149">
        <v>1</v>
      </c>
      <c r="R1442" s="1188">
        <v>30000</v>
      </c>
      <c r="S1442" s="1199" t="s">
        <v>1466</v>
      </c>
      <c r="T1442" s="1208" t="s">
        <v>54</v>
      </c>
      <c r="U1442" s="1208"/>
      <c r="V1442" s="1208"/>
      <c r="W1442" s="1217" t="s">
        <v>1468</v>
      </c>
      <c r="X1442" s="1222"/>
      <c r="Y1442" s="1222"/>
      <c r="Z1442" s="1222"/>
      <c r="AA1442" s="1222"/>
      <c r="AB1442" s="1222"/>
      <c r="AC1442" s="1222"/>
      <c r="AD1442" s="1222"/>
      <c r="AE1442" s="1222"/>
      <c r="AF1442"/>
      <c r="AG1442" s="950"/>
      <c r="AH1442" s="950"/>
      <c r="AI1442" s="950"/>
      <c r="AJ1442" s="950"/>
      <c r="AK1442" s="950"/>
      <c r="AL1442" s="950"/>
      <c r="AM1442" s="950"/>
      <c r="AN1442" s="950"/>
      <c r="AO1442" s="950"/>
      <c r="AP1442" s="950"/>
      <c r="AQ1442" s="950"/>
      <c r="AR1442" s="950"/>
      <c r="AS1442" s="950"/>
      <c r="AT1442" s="950"/>
      <c r="AU1442" s="950"/>
      <c r="AV1442" s="950"/>
      <c r="AW1442" s="950"/>
      <c r="AX1442" s="950"/>
      <c r="AY1442" s="950"/>
    </row>
    <row r="1443" spans="1:51" s="691" customFormat="1" ht="69">
      <c r="A1443" s="902"/>
      <c r="B1443" s="713" t="s">
        <v>48</v>
      </c>
      <c r="C1443" s="520" t="s">
        <v>1500</v>
      </c>
      <c r="D1443" s="521" t="s">
        <v>29</v>
      </c>
      <c r="E1443" s="730"/>
      <c r="F1443" s="1084"/>
      <c r="G1443" s="1084"/>
      <c r="H1443" s="521" t="s">
        <v>49</v>
      </c>
      <c r="I1443" s="522" t="s">
        <v>34</v>
      </c>
      <c r="J1443" s="1023" t="s">
        <v>1501</v>
      </c>
      <c r="K1443" s="522"/>
      <c r="L1443" s="523">
        <v>43084</v>
      </c>
      <c r="M1443" s="523"/>
      <c r="N1443" s="523"/>
      <c r="O1443" s="523" t="s">
        <v>1502</v>
      </c>
      <c r="P1443" s="524">
        <v>1</v>
      </c>
      <c r="Q1443" s="524">
        <v>1</v>
      </c>
      <c r="R1443" s="779">
        <v>105000</v>
      </c>
      <c r="S1443" s="526" t="s">
        <v>1466</v>
      </c>
      <c r="T1443" s="527" t="s">
        <v>54</v>
      </c>
      <c r="U1443" s="527"/>
      <c r="V1443" s="527"/>
      <c r="W1443" s="528" t="s">
        <v>875</v>
      </c>
      <c r="X1443" s="114"/>
      <c r="Y1443" s="114"/>
      <c r="Z1443" s="180"/>
      <c r="AA1443" s="114"/>
      <c r="AB1443" s="114"/>
      <c r="AC1443" s="180"/>
      <c r="AD1443" s="297"/>
      <c r="AE1443" s="297"/>
      <c r="AF1443"/>
    </row>
    <row r="1444" spans="1:51" s="691" customFormat="1" ht="110.4">
      <c r="A1444" s="902"/>
      <c r="B1444" s="713" t="s">
        <v>48</v>
      </c>
      <c r="C1444" s="529" t="s">
        <v>1391</v>
      </c>
      <c r="D1444" s="521" t="s">
        <v>60</v>
      </c>
      <c r="E1444" s="730"/>
      <c r="F1444" s="727"/>
      <c r="G1444" s="727"/>
      <c r="H1444" s="521" t="s">
        <v>127</v>
      </c>
      <c r="I1444" s="522" t="s">
        <v>34</v>
      </c>
      <c r="J1444" s="1023" t="s">
        <v>1392</v>
      </c>
      <c r="K1444" s="522"/>
      <c r="L1444" s="523">
        <v>42856</v>
      </c>
      <c r="M1444" s="523"/>
      <c r="N1444" s="523"/>
      <c r="O1444" s="523" t="s">
        <v>1393</v>
      </c>
      <c r="P1444" s="524">
        <v>8</v>
      </c>
      <c r="Q1444" s="524">
        <v>8</v>
      </c>
      <c r="R1444" s="1183">
        <f>170000+185000+240000+260000+150000+1000000</f>
        <v>2005000</v>
      </c>
      <c r="S1444" s="526" t="s">
        <v>1372</v>
      </c>
      <c r="T1444" s="527" t="s">
        <v>54</v>
      </c>
      <c r="U1444" s="527"/>
      <c r="V1444" s="527"/>
      <c r="W1444" s="528" t="s">
        <v>1394</v>
      </c>
      <c r="X1444" s="114"/>
      <c r="Y1444" s="114"/>
      <c r="Z1444" s="180"/>
      <c r="AA1444" s="114"/>
      <c r="AB1444" s="114"/>
      <c r="AC1444" s="180"/>
      <c r="AD1444" s="297"/>
      <c r="AE1444" s="297"/>
      <c r="AF1444"/>
    </row>
    <row r="1445" spans="1:51" s="691" customFormat="1" ht="39.6">
      <c r="A1445" s="902"/>
      <c r="B1445" s="713" t="s">
        <v>48</v>
      </c>
      <c r="C1445" s="465"/>
      <c r="D1445" s="466" t="s">
        <v>29</v>
      </c>
      <c r="E1445" s="609"/>
      <c r="F1445" s="1073"/>
      <c r="G1445" s="1073"/>
      <c r="H1445" s="466" t="s">
        <v>49</v>
      </c>
      <c r="I1445" s="474" t="s">
        <v>34</v>
      </c>
      <c r="J1445" s="1024" t="s">
        <v>1655</v>
      </c>
      <c r="K1445" s="467"/>
      <c r="L1445" s="540" t="s">
        <v>125</v>
      </c>
      <c r="M1445" s="540"/>
      <c r="N1445" s="540"/>
      <c r="O1445" s="540" t="s">
        <v>1540</v>
      </c>
      <c r="P1445" s="471" t="s">
        <v>125</v>
      </c>
      <c r="Q1445" s="471"/>
      <c r="R1445" s="1190">
        <v>1000000</v>
      </c>
      <c r="S1445" s="478" t="s">
        <v>125</v>
      </c>
      <c r="T1445" s="470" t="s">
        <v>54</v>
      </c>
      <c r="U1445" s="470"/>
      <c r="V1445" s="470"/>
      <c r="W1445" s="474" t="s">
        <v>406</v>
      </c>
      <c r="X1445" s="114"/>
      <c r="Y1445" s="114"/>
      <c r="Z1445" s="180"/>
      <c r="AA1445" s="114"/>
      <c r="AB1445" s="114"/>
      <c r="AC1445" s="180"/>
      <c r="AD1445" s="297"/>
      <c r="AE1445" s="297"/>
      <c r="AF1445"/>
    </row>
    <row r="1446" spans="1:51" s="693" customFormat="1" ht="110.4">
      <c r="A1446" s="902"/>
      <c r="B1446" s="715" t="s">
        <v>48</v>
      </c>
      <c r="C1446" s="520" t="s">
        <v>1589</v>
      </c>
      <c r="D1446" s="727" t="s">
        <v>60</v>
      </c>
      <c r="E1446" s="730"/>
      <c r="F1446" s="727"/>
      <c r="G1446" s="727"/>
      <c r="H1446" s="521" t="s">
        <v>127</v>
      </c>
      <c r="I1446" s="522" t="s">
        <v>34</v>
      </c>
      <c r="J1446" s="1023" t="s">
        <v>1590</v>
      </c>
      <c r="K1446" s="522"/>
      <c r="L1446" s="523" t="s">
        <v>1591</v>
      </c>
      <c r="M1446" s="523"/>
      <c r="N1446" s="523"/>
      <c r="O1446" s="523" t="s">
        <v>1591</v>
      </c>
      <c r="P1446" s="769" t="s">
        <v>35</v>
      </c>
      <c r="Q1446" s="766" t="s">
        <v>35</v>
      </c>
      <c r="R1446" s="779">
        <v>225000</v>
      </c>
      <c r="S1446" s="526" t="s">
        <v>1372</v>
      </c>
      <c r="T1446" s="527" t="s">
        <v>54</v>
      </c>
      <c r="U1446" s="527"/>
      <c r="V1446" s="527"/>
      <c r="W1446" s="528" t="s">
        <v>1592</v>
      </c>
      <c r="X1446" s="114"/>
      <c r="Y1446" s="114"/>
      <c r="Z1446" s="114"/>
      <c r="AA1446" s="114"/>
      <c r="AB1446" s="114"/>
      <c r="AC1446" s="180"/>
      <c r="AD1446" s="297"/>
      <c r="AE1446" s="297"/>
      <c r="AF1446"/>
      <c r="AG1446" s="691"/>
      <c r="AH1446" s="691"/>
      <c r="AI1446" s="691"/>
      <c r="AJ1446" s="691"/>
      <c r="AK1446" s="691"/>
      <c r="AL1446" s="691"/>
      <c r="AM1446" s="691"/>
      <c r="AN1446" s="691"/>
      <c r="AO1446" s="691"/>
      <c r="AP1446" s="691"/>
      <c r="AQ1446" s="691"/>
      <c r="AR1446" s="691"/>
    </row>
    <row r="1447" spans="1:51" s="691" customFormat="1" ht="39.6">
      <c r="A1447" s="1062"/>
      <c r="B1447" s="991" t="s">
        <v>48</v>
      </c>
      <c r="C1447" s="1074"/>
      <c r="D1447" s="1073" t="s">
        <v>29</v>
      </c>
      <c r="E1447" s="1073"/>
      <c r="F1447" s="1073"/>
      <c r="G1447" s="1073"/>
      <c r="H1447" s="1073" t="s">
        <v>49</v>
      </c>
      <c r="I1447" s="1090" t="s">
        <v>34</v>
      </c>
      <c r="J1447" s="1097" t="s">
        <v>1658</v>
      </c>
      <c r="K1447" s="1108"/>
      <c r="L1447" s="1138" t="s">
        <v>125</v>
      </c>
      <c r="M1447" s="1138"/>
      <c r="N1447" s="1138"/>
      <c r="O1447" s="1138" t="s">
        <v>1591</v>
      </c>
      <c r="P1447" s="1152" t="s">
        <v>125</v>
      </c>
      <c r="Q1447" s="1152"/>
      <c r="R1447" s="1178" t="s">
        <v>125</v>
      </c>
      <c r="S1447" s="1198" t="s">
        <v>125</v>
      </c>
      <c r="T1447" s="1119" t="s">
        <v>54</v>
      </c>
      <c r="U1447" s="1119"/>
      <c r="V1447" s="1119"/>
      <c r="W1447" s="1090" t="s">
        <v>406</v>
      </c>
      <c r="X1447" s="1222"/>
      <c r="Y1447" s="1222"/>
      <c r="Z1447" s="1222"/>
      <c r="AA1447" s="1222"/>
      <c r="AB1447" s="1222"/>
      <c r="AC1447" s="1222"/>
      <c r="AD1447" s="1222"/>
      <c r="AE1447" s="1222"/>
      <c r="AF1447"/>
    </row>
    <row r="1448" spans="1:51" s="691" customFormat="1" ht="52.8">
      <c r="A1448" s="902"/>
      <c r="B1448" s="715" t="s">
        <v>48</v>
      </c>
      <c r="C1448" s="520" t="s">
        <v>43</v>
      </c>
      <c r="D1448" s="554" t="s">
        <v>60</v>
      </c>
      <c r="E1448" s="609"/>
      <c r="F1448" s="554"/>
      <c r="G1448" s="1073"/>
      <c r="H1448" s="466" t="s">
        <v>127</v>
      </c>
      <c r="I1448" s="467" t="s">
        <v>34</v>
      </c>
      <c r="J1448" s="1023" t="s">
        <v>1628</v>
      </c>
      <c r="K1448" s="522"/>
      <c r="L1448" s="540">
        <v>43466</v>
      </c>
      <c r="M1448" s="540"/>
      <c r="N1448" s="540"/>
      <c r="O1448" s="540" t="s">
        <v>1629</v>
      </c>
      <c r="P1448" s="556">
        <f>60+24</f>
        <v>84</v>
      </c>
      <c r="Q1448" s="764" t="s">
        <v>712</v>
      </c>
      <c r="R1448" s="1196">
        <v>467577</v>
      </c>
      <c r="S1448" s="791" t="s">
        <v>35</v>
      </c>
      <c r="T1448" s="470" t="s">
        <v>41</v>
      </c>
      <c r="U1448" s="470"/>
      <c r="V1448" s="470"/>
      <c r="W1448" s="474" t="s">
        <v>1485</v>
      </c>
      <c r="X1448" s="114"/>
      <c r="Y1448" s="114"/>
      <c r="Z1448" s="114"/>
      <c r="AA1448" s="180"/>
      <c r="AB1448" s="114"/>
      <c r="AC1448" s="180"/>
      <c r="AD1448" s="297"/>
      <c r="AE1448" s="297"/>
      <c r="AF1448"/>
    </row>
    <row r="1449" spans="1:51" s="691" customFormat="1" ht="69">
      <c r="A1449" s="902"/>
      <c r="B1449" s="713" t="s">
        <v>48</v>
      </c>
      <c r="C1449" s="520" t="s">
        <v>1544</v>
      </c>
      <c r="D1449" s="521" t="s">
        <v>29</v>
      </c>
      <c r="E1449" s="730"/>
      <c r="F1449" s="1084"/>
      <c r="G1449" s="1084"/>
      <c r="H1449" s="521" t="s">
        <v>49</v>
      </c>
      <c r="I1449" s="522" t="s">
        <v>34</v>
      </c>
      <c r="J1449" s="1023" t="s">
        <v>1545</v>
      </c>
      <c r="K1449" s="522"/>
      <c r="L1449" s="523">
        <v>43115</v>
      </c>
      <c r="M1449" s="523"/>
      <c r="N1449" s="523"/>
      <c r="O1449" s="523" t="s">
        <v>1546</v>
      </c>
      <c r="P1449" s="524">
        <v>2</v>
      </c>
      <c r="Q1449" s="524">
        <v>2</v>
      </c>
      <c r="R1449" s="779">
        <v>266000</v>
      </c>
      <c r="S1449" s="526" t="s">
        <v>1508</v>
      </c>
      <c r="T1449" s="527" t="s">
        <v>54</v>
      </c>
      <c r="U1449" s="527"/>
      <c r="V1449" s="527"/>
      <c r="W1449" s="528" t="s">
        <v>1509</v>
      </c>
      <c r="X1449" s="114"/>
      <c r="Y1449" s="114"/>
      <c r="Z1449" s="180"/>
      <c r="AA1449" s="114"/>
      <c r="AB1449" s="114"/>
      <c r="AC1449" s="180"/>
      <c r="AD1449" s="297"/>
      <c r="AE1449" s="297"/>
      <c r="AF1449"/>
    </row>
    <row r="1450" spans="1:51" ht="110.4">
      <c r="A1450" s="902"/>
      <c r="B1450" s="713" t="s">
        <v>48</v>
      </c>
      <c r="C1450" s="713" t="s">
        <v>1494</v>
      </c>
      <c r="D1450" s="727" t="s">
        <v>60</v>
      </c>
      <c r="E1450" s="727"/>
      <c r="F1450" s="727"/>
      <c r="G1450" s="727"/>
      <c r="H1450" s="727" t="s">
        <v>127</v>
      </c>
      <c r="I1450" s="1264" t="s">
        <v>34</v>
      </c>
      <c r="J1450" s="1271" t="s">
        <v>1495</v>
      </c>
      <c r="K1450" s="1264"/>
      <c r="L1450" s="1280" t="s">
        <v>1496</v>
      </c>
      <c r="M1450" s="1280"/>
      <c r="N1450" s="1280"/>
      <c r="O1450" s="1280" t="s">
        <v>1497</v>
      </c>
      <c r="P1450" s="1161">
        <v>6</v>
      </c>
      <c r="Q1450" s="1161">
        <v>6</v>
      </c>
      <c r="R1450" s="779">
        <v>560000</v>
      </c>
      <c r="S1450" s="790" t="s">
        <v>1372</v>
      </c>
      <c r="T1450" s="797" t="s">
        <v>54</v>
      </c>
      <c r="U1450" s="797"/>
      <c r="V1450" s="797"/>
      <c r="W1450" s="1303" t="s">
        <v>1321</v>
      </c>
      <c r="X1450" s="303"/>
      <c r="Y1450" s="303"/>
      <c r="Z1450" s="303"/>
      <c r="AA1450" s="303"/>
      <c r="AB1450" s="303"/>
      <c r="AC1450" s="303"/>
      <c r="AD1450" s="303"/>
      <c r="AE1450" s="303"/>
    </row>
    <row r="1451" spans="1:51" ht="52.8">
      <c r="A1451" s="1062"/>
      <c r="B1451" s="991" t="s">
        <v>48</v>
      </c>
      <c r="C1451" s="1073" t="s">
        <v>2067</v>
      </c>
      <c r="D1451" s="1073" t="s">
        <v>60</v>
      </c>
      <c r="E1451" s="1073"/>
      <c r="F1451" s="1073"/>
      <c r="G1451" s="1073"/>
      <c r="H1451" s="1073" t="s">
        <v>127</v>
      </c>
      <c r="I1451" s="1090" t="s">
        <v>34</v>
      </c>
      <c r="J1451" s="1096" t="s">
        <v>2068</v>
      </c>
      <c r="K1451" s="1107"/>
      <c r="L1451" s="1119">
        <v>43966</v>
      </c>
      <c r="M1451" s="1119"/>
      <c r="N1451" s="1119"/>
      <c r="O1451" s="1119" t="s">
        <v>181</v>
      </c>
      <c r="P1451" s="1120" t="s">
        <v>125</v>
      </c>
      <c r="Q1451" s="1120" t="s">
        <v>125</v>
      </c>
      <c r="R1451" s="1178">
        <v>80000</v>
      </c>
      <c r="S1451" s="1119" t="s">
        <v>125</v>
      </c>
      <c r="T1451" s="1119" t="s">
        <v>36</v>
      </c>
      <c r="U1451" s="1073" t="s">
        <v>125</v>
      </c>
      <c r="V1451" s="1073"/>
      <c r="W1451" s="1215" t="s">
        <v>1514</v>
      </c>
      <c r="X1451" s="1222"/>
      <c r="Y1451" s="1222"/>
      <c r="Z1451" s="1222"/>
      <c r="AA1451" s="1222"/>
      <c r="AB1451" s="1222"/>
      <c r="AC1451" s="1222"/>
      <c r="AD1451" s="1222"/>
      <c r="AE1451" s="1222"/>
    </row>
    <row r="1452" spans="1:51" ht="39.6">
      <c r="A1452" s="1062"/>
      <c r="B1452" s="991" t="s">
        <v>48</v>
      </c>
      <c r="C1452" s="1074" t="s">
        <v>125</v>
      </c>
      <c r="D1452" s="1073" t="s">
        <v>2119</v>
      </c>
      <c r="E1452" s="1073"/>
      <c r="F1452" s="1073"/>
      <c r="G1452" s="1073"/>
      <c r="H1452" s="1073" t="s">
        <v>202</v>
      </c>
      <c r="I1452" s="1090" t="s">
        <v>34</v>
      </c>
      <c r="J1452" s="1097" t="s">
        <v>2120</v>
      </c>
      <c r="K1452" s="1108"/>
      <c r="L1452" s="1119">
        <v>44138</v>
      </c>
      <c r="M1452" s="1119"/>
      <c r="N1452" s="1119"/>
      <c r="O1452" s="1119" t="s">
        <v>181</v>
      </c>
      <c r="P1452" s="1152" t="s">
        <v>125</v>
      </c>
      <c r="Q1452" s="1152" t="s">
        <v>125</v>
      </c>
      <c r="R1452" s="1175" t="s">
        <v>125</v>
      </c>
      <c r="S1452" s="1119" t="s">
        <v>2121</v>
      </c>
      <c r="T1452" s="1119" t="s">
        <v>125</v>
      </c>
      <c r="U1452" s="1119" t="s">
        <v>125</v>
      </c>
      <c r="V1452" s="1119"/>
      <c r="W1452" s="1090" t="s">
        <v>2122</v>
      </c>
      <c r="X1452" s="1222"/>
      <c r="Y1452" s="1222"/>
      <c r="Z1452" s="1222"/>
      <c r="AA1452" s="1222"/>
      <c r="AB1452" s="1222"/>
      <c r="AC1452" s="1222"/>
      <c r="AD1452" s="1222"/>
      <c r="AE1452" s="1222"/>
    </row>
    <row r="1453" spans="1:51" ht="52.8">
      <c r="A1453" s="1062"/>
      <c r="B1453" s="991" t="s">
        <v>48</v>
      </c>
      <c r="C1453" s="1074"/>
      <c r="D1453" s="1073" t="s">
        <v>60</v>
      </c>
      <c r="E1453" s="1073"/>
      <c r="F1453" s="1073"/>
      <c r="G1453" s="1073"/>
      <c r="H1453" s="1073" t="s">
        <v>127</v>
      </c>
      <c r="I1453" s="1090" t="s">
        <v>34</v>
      </c>
      <c r="J1453" s="1097" t="s">
        <v>1643</v>
      </c>
      <c r="K1453" s="1108"/>
      <c r="L1453" s="1138" t="s">
        <v>1266</v>
      </c>
      <c r="M1453" s="1138"/>
      <c r="N1453" s="1138"/>
      <c r="O1453" s="1138" t="s">
        <v>1266</v>
      </c>
      <c r="P1453" s="1152"/>
      <c r="Q1453" s="1152"/>
      <c r="R1453" s="1178">
        <v>96202</v>
      </c>
      <c r="S1453" s="1198" t="s">
        <v>125</v>
      </c>
      <c r="T1453" s="1119" t="s">
        <v>54</v>
      </c>
      <c r="U1453" s="1119"/>
      <c r="V1453" s="1119"/>
      <c r="W1453" s="1090"/>
      <c r="X1453" s="1222"/>
      <c r="Y1453" s="1222"/>
      <c r="Z1453" s="1222"/>
      <c r="AA1453" s="1222"/>
      <c r="AB1453" s="1222"/>
      <c r="AC1453" s="1222"/>
      <c r="AD1453" s="1222"/>
      <c r="AE1453" s="1222"/>
    </row>
    <row r="1454" spans="1:51" ht="39.6">
      <c r="A1454" s="1062"/>
      <c r="B1454" s="991" t="s">
        <v>48</v>
      </c>
      <c r="C1454" s="1074"/>
      <c r="D1454" s="1073" t="s">
        <v>29</v>
      </c>
      <c r="E1454" s="1073"/>
      <c r="F1454" s="1073"/>
      <c r="G1454" s="1073"/>
      <c r="H1454" s="1073" t="s">
        <v>49</v>
      </c>
      <c r="I1454" s="1090" t="s">
        <v>34</v>
      </c>
      <c r="J1454" s="1097" t="s">
        <v>1656</v>
      </c>
      <c r="K1454" s="1108"/>
      <c r="L1454" s="1138" t="s">
        <v>125</v>
      </c>
      <c r="M1454" s="1138"/>
      <c r="N1454" s="1138"/>
      <c r="O1454" s="1138" t="s">
        <v>1657</v>
      </c>
      <c r="P1454" s="1152" t="s">
        <v>125</v>
      </c>
      <c r="Q1454" s="1152"/>
      <c r="R1454" s="1178" t="s">
        <v>125</v>
      </c>
      <c r="S1454" s="1198" t="s">
        <v>125</v>
      </c>
      <c r="T1454" s="1119" t="s">
        <v>54</v>
      </c>
      <c r="U1454" s="1119"/>
      <c r="V1454" s="1119"/>
      <c r="W1454" s="1090" t="s">
        <v>406</v>
      </c>
      <c r="X1454" s="1222"/>
      <c r="Y1454" s="1222"/>
      <c r="Z1454" s="1222"/>
      <c r="AA1454" s="1222"/>
      <c r="AB1454" s="1222"/>
      <c r="AC1454" s="1222"/>
      <c r="AD1454" s="1222"/>
      <c r="AE1454" s="1222"/>
    </row>
    <row r="1455" spans="1:51" ht="55.2">
      <c r="A1455" s="1062"/>
      <c r="B1455" s="991" t="s">
        <v>48</v>
      </c>
      <c r="C1455" s="991" t="s">
        <v>43</v>
      </c>
      <c r="D1455" s="1084" t="s">
        <v>60</v>
      </c>
      <c r="E1455" s="1084"/>
      <c r="F1455" s="1084"/>
      <c r="G1455" s="1084"/>
      <c r="H1455" s="1084" t="s">
        <v>127</v>
      </c>
      <c r="I1455" s="995" t="s">
        <v>34</v>
      </c>
      <c r="J1455" s="1104" t="s">
        <v>1483</v>
      </c>
      <c r="K1455" s="995"/>
      <c r="L1455" s="1127">
        <v>43040</v>
      </c>
      <c r="M1455" s="1127"/>
      <c r="N1455" s="1127"/>
      <c r="O1455" s="1127" t="s">
        <v>1484</v>
      </c>
      <c r="P1455" s="1149">
        <v>1</v>
      </c>
      <c r="Q1455" s="1149">
        <v>1</v>
      </c>
      <c r="R1455" s="1188">
        <v>25000</v>
      </c>
      <c r="S1455" s="1199" t="s">
        <v>1412</v>
      </c>
      <c r="T1455" s="1208" t="s">
        <v>54</v>
      </c>
      <c r="U1455" s="1208"/>
      <c r="V1455" s="1208"/>
      <c r="W1455" s="1217" t="s">
        <v>1485</v>
      </c>
      <c r="X1455" s="1222"/>
      <c r="Y1455" s="1222"/>
      <c r="Z1455" s="1222"/>
      <c r="AA1455" s="1222"/>
      <c r="AB1455" s="1222"/>
      <c r="AC1455" s="1222"/>
      <c r="AD1455" s="1222"/>
      <c r="AE1455" s="1222"/>
    </row>
    <row r="1456" spans="1:51" ht="52.8">
      <c r="A1456" s="1062"/>
      <c r="B1456" s="991" t="s">
        <v>48</v>
      </c>
      <c r="C1456" s="1074" t="s">
        <v>2103</v>
      </c>
      <c r="D1456" s="1073" t="s">
        <v>60</v>
      </c>
      <c r="E1456" s="1073"/>
      <c r="F1456" s="1073"/>
      <c r="G1456" s="1073"/>
      <c r="H1456" s="1073" t="s">
        <v>127</v>
      </c>
      <c r="I1456" s="1090" t="s">
        <v>34</v>
      </c>
      <c r="J1456" s="1096" t="s">
        <v>2104</v>
      </c>
      <c r="K1456" s="1107"/>
      <c r="L1456" s="1121">
        <v>44011</v>
      </c>
      <c r="M1456" s="1121"/>
      <c r="N1456" s="1121"/>
      <c r="O1456" s="1121" t="s">
        <v>188</v>
      </c>
      <c r="P1456" s="1154">
        <v>3</v>
      </c>
      <c r="Q1456" s="1154">
        <v>3</v>
      </c>
      <c r="R1456" s="1292">
        <v>312029.09999999998</v>
      </c>
      <c r="S1456" s="1154" t="s">
        <v>2096</v>
      </c>
      <c r="T1456" s="1154" t="s">
        <v>36</v>
      </c>
      <c r="U1456" s="1121">
        <v>43700</v>
      </c>
      <c r="V1456" s="1121"/>
      <c r="W1456" s="1090" t="s">
        <v>2105</v>
      </c>
      <c r="X1456" s="1222"/>
      <c r="Y1456" s="1222"/>
      <c r="Z1456" s="1222"/>
      <c r="AA1456" s="1222"/>
      <c r="AB1456" s="1222"/>
      <c r="AC1456" s="1222"/>
      <c r="AD1456" s="1222"/>
      <c r="AE1456" s="1222"/>
    </row>
    <row r="1457" spans="1:31" ht="41.4">
      <c r="A1457" s="1488"/>
      <c r="B1457" s="1222"/>
      <c r="C1457" s="1261" t="s">
        <v>238</v>
      </c>
      <c r="D1457" s="1261" t="s">
        <v>29</v>
      </c>
      <c r="E1457" s="1261"/>
      <c r="F1457" s="1261"/>
      <c r="G1457" s="1261"/>
      <c r="H1457" s="1261" t="s">
        <v>70</v>
      </c>
      <c r="I1457" s="1261" t="s">
        <v>50</v>
      </c>
      <c r="J1457" s="1272" t="s">
        <v>4432</v>
      </c>
      <c r="K1457" s="1276"/>
      <c r="L1457" s="1261"/>
      <c r="M1457" s="1286"/>
      <c r="N1457" s="1286"/>
      <c r="O1457" s="1286" t="s">
        <v>35</v>
      </c>
      <c r="P1457" s="1261" t="s">
        <v>35</v>
      </c>
      <c r="Q1457" s="1261" t="s">
        <v>191</v>
      </c>
      <c r="R1457" s="1295">
        <v>64000</v>
      </c>
      <c r="S1457" s="1276" t="s">
        <v>53</v>
      </c>
      <c r="T1457" s="1261" t="s">
        <v>54</v>
      </c>
      <c r="U1457" s="1261" t="s">
        <v>37</v>
      </c>
      <c r="V1457" s="1261"/>
      <c r="W1457" s="1261" t="s">
        <v>4433</v>
      </c>
      <c r="X1457" s="1261" t="s">
        <v>4434</v>
      </c>
      <c r="Y1457" s="1261" t="s">
        <v>457</v>
      </c>
      <c r="Z1457" s="1261" t="s">
        <v>95</v>
      </c>
      <c r="AA1457" s="1261" t="s">
        <v>54</v>
      </c>
      <c r="AB1457" s="1286">
        <v>44357</v>
      </c>
      <c r="AC1457" s="1313" t="s">
        <v>4435</v>
      </c>
      <c r="AD1457" s="1261"/>
      <c r="AE1457" s="1261"/>
    </row>
    <row r="1458" spans="1:31" ht="39.6">
      <c r="A1458" s="1062"/>
      <c r="B1458" s="991" t="s">
        <v>48</v>
      </c>
      <c r="C1458" s="1074"/>
      <c r="D1458" s="1073" t="s">
        <v>29</v>
      </c>
      <c r="E1458" s="1073"/>
      <c r="F1458" s="1073"/>
      <c r="G1458" s="1073"/>
      <c r="H1458" s="1073" t="s">
        <v>49</v>
      </c>
      <c r="I1458" s="1090" t="s">
        <v>34</v>
      </c>
      <c r="J1458" s="1097" t="s">
        <v>1645</v>
      </c>
      <c r="K1458" s="1108"/>
      <c r="L1458" s="1129" t="s">
        <v>125</v>
      </c>
      <c r="M1458" s="1129"/>
      <c r="N1458" s="1129"/>
      <c r="O1458" s="1138" t="s">
        <v>125</v>
      </c>
      <c r="P1458" s="1152" t="s">
        <v>125</v>
      </c>
      <c r="Q1458" s="1152" t="s">
        <v>125</v>
      </c>
      <c r="R1458" s="1178" t="s">
        <v>125</v>
      </c>
      <c r="S1458" s="1198" t="s">
        <v>125</v>
      </c>
      <c r="T1458" s="1119" t="s">
        <v>54</v>
      </c>
      <c r="U1458" s="1119"/>
      <c r="V1458" s="1119"/>
      <c r="W1458" s="1090" t="s">
        <v>406</v>
      </c>
      <c r="X1458" s="1222"/>
      <c r="Y1458" s="1222"/>
      <c r="Z1458" s="1222"/>
      <c r="AA1458" s="1222"/>
      <c r="AB1458" s="1222"/>
      <c r="AC1458" s="1222"/>
      <c r="AD1458" s="1222"/>
      <c r="AE1458" s="1222"/>
    </row>
    <row r="1459" spans="1:31" ht="79.2">
      <c r="A1459" s="1062"/>
      <c r="B1459" s="991" t="s">
        <v>48</v>
      </c>
      <c r="C1459" s="1074"/>
      <c r="D1459" s="1073" t="s">
        <v>29</v>
      </c>
      <c r="E1459" s="1073"/>
      <c r="F1459" s="1073"/>
      <c r="G1459" s="1073"/>
      <c r="H1459" s="1073" t="s">
        <v>49</v>
      </c>
      <c r="I1459" s="1090" t="s">
        <v>34</v>
      </c>
      <c r="J1459" s="1269" t="s">
        <v>1646</v>
      </c>
      <c r="K1459" s="1109"/>
      <c r="L1459" s="1129" t="s">
        <v>125</v>
      </c>
      <c r="M1459" s="1129"/>
      <c r="N1459" s="1129"/>
      <c r="O1459" s="1138" t="s">
        <v>125</v>
      </c>
      <c r="P1459" s="1152" t="s">
        <v>125</v>
      </c>
      <c r="Q1459" s="1152" t="s">
        <v>125</v>
      </c>
      <c r="R1459" s="1178">
        <v>100000</v>
      </c>
      <c r="S1459" s="1198" t="s">
        <v>125</v>
      </c>
      <c r="T1459" s="1119" t="s">
        <v>54</v>
      </c>
      <c r="U1459" s="1119"/>
      <c r="V1459" s="1119"/>
      <c r="W1459" s="1090" t="s">
        <v>406</v>
      </c>
      <c r="X1459" s="1222"/>
      <c r="Y1459" s="1222"/>
      <c r="Z1459" s="1222"/>
      <c r="AA1459" s="1222"/>
      <c r="AB1459" s="1222"/>
      <c r="AC1459" s="1222"/>
      <c r="AD1459" s="1222"/>
      <c r="AE1459" s="1222"/>
    </row>
    <row r="1460" spans="1:31" ht="39.6">
      <c r="A1460" s="1062"/>
      <c r="B1460" s="991" t="s">
        <v>48</v>
      </c>
      <c r="C1460" s="1074"/>
      <c r="D1460" s="1073" t="s">
        <v>29</v>
      </c>
      <c r="E1460" s="1073"/>
      <c r="F1460" s="1073"/>
      <c r="G1460" s="1073"/>
      <c r="H1460" s="1073" t="s">
        <v>49</v>
      </c>
      <c r="I1460" s="1090" t="s">
        <v>34</v>
      </c>
      <c r="J1460" s="1269" t="s">
        <v>1648</v>
      </c>
      <c r="K1460" s="1109"/>
      <c r="L1460" s="1129" t="s">
        <v>125</v>
      </c>
      <c r="M1460" s="1129"/>
      <c r="N1460" s="1129"/>
      <c r="O1460" s="1138" t="s">
        <v>125</v>
      </c>
      <c r="P1460" s="1152" t="s">
        <v>125</v>
      </c>
      <c r="Q1460" s="1152" t="s">
        <v>125</v>
      </c>
      <c r="R1460" s="1178">
        <v>90000</v>
      </c>
      <c r="S1460" s="1198" t="s">
        <v>125</v>
      </c>
      <c r="T1460" s="1119" t="s">
        <v>54</v>
      </c>
      <c r="U1460" s="1119"/>
      <c r="V1460" s="1119"/>
      <c r="W1460" s="1090" t="s">
        <v>406</v>
      </c>
      <c r="X1460" s="1222"/>
      <c r="Y1460" s="1222"/>
      <c r="Z1460" s="1222"/>
      <c r="AA1460" s="1222"/>
      <c r="AB1460" s="1222"/>
      <c r="AC1460" s="1222"/>
      <c r="AD1460" s="1222"/>
      <c r="AE1460" s="1222"/>
    </row>
    <row r="1461" spans="1:31" ht="39.6">
      <c r="A1461" s="1062"/>
      <c r="B1461" s="991" t="s">
        <v>48</v>
      </c>
      <c r="C1461" s="1074"/>
      <c r="D1461" s="1073" t="s">
        <v>29</v>
      </c>
      <c r="E1461" s="1073"/>
      <c r="F1461" s="1073"/>
      <c r="G1461" s="1073"/>
      <c r="H1461" s="1073" t="s">
        <v>49</v>
      </c>
      <c r="I1461" s="1090" t="s">
        <v>34</v>
      </c>
      <c r="J1461" s="1269" t="s">
        <v>1651</v>
      </c>
      <c r="K1461" s="1109"/>
      <c r="L1461" s="1129" t="s">
        <v>125</v>
      </c>
      <c r="M1461" s="1129"/>
      <c r="N1461" s="1129"/>
      <c r="O1461" s="1138" t="s">
        <v>125</v>
      </c>
      <c r="P1461" s="1152" t="s">
        <v>125</v>
      </c>
      <c r="Q1461" s="1152" t="s">
        <v>125</v>
      </c>
      <c r="R1461" s="1290">
        <v>100000</v>
      </c>
      <c r="S1461" s="1198" t="s">
        <v>125</v>
      </c>
      <c r="T1461" s="1119" t="s">
        <v>54</v>
      </c>
      <c r="U1461" s="1119"/>
      <c r="V1461" s="1119"/>
      <c r="W1461" s="1090" t="s">
        <v>406</v>
      </c>
      <c r="X1461" s="1222"/>
      <c r="Y1461" s="1222"/>
      <c r="Z1461" s="1222"/>
      <c r="AA1461" s="1222"/>
      <c r="AB1461" s="1222"/>
      <c r="AC1461" s="1222"/>
      <c r="AD1461" s="1222"/>
      <c r="AE1461" s="1222"/>
    </row>
    <row r="1462" spans="1:31" ht="39.6">
      <c r="A1462" s="1062"/>
      <c r="B1462" s="991" t="s">
        <v>48</v>
      </c>
      <c r="C1462" s="1073"/>
      <c r="D1462" s="1073" t="s">
        <v>29</v>
      </c>
      <c r="E1462" s="1073"/>
      <c r="F1462" s="1073"/>
      <c r="G1462" s="1073"/>
      <c r="H1462" s="1073" t="s">
        <v>49</v>
      </c>
      <c r="I1462" s="1090" t="s">
        <v>34</v>
      </c>
      <c r="J1462" s="1096" t="s">
        <v>1652</v>
      </c>
      <c r="K1462" s="1107"/>
      <c r="L1462" s="1129" t="s">
        <v>125</v>
      </c>
      <c r="M1462" s="1129"/>
      <c r="N1462" s="1129"/>
      <c r="O1462" s="1138" t="s">
        <v>125</v>
      </c>
      <c r="P1462" s="1152" t="s">
        <v>125</v>
      </c>
      <c r="Q1462" s="1152" t="s">
        <v>125</v>
      </c>
      <c r="R1462" s="1290">
        <v>616000</v>
      </c>
      <c r="S1462" s="1198" t="s">
        <v>125</v>
      </c>
      <c r="T1462" s="1119" t="s">
        <v>41</v>
      </c>
      <c r="U1462" s="1119"/>
      <c r="V1462" s="1119"/>
      <c r="W1462" s="1090" t="s">
        <v>406</v>
      </c>
      <c r="X1462" s="1222"/>
      <c r="Y1462" s="1222"/>
      <c r="Z1462" s="1222"/>
      <c r="AA1462" s="1222"/>
      <c r="AB1462" s="1222"/>
      <c r="AC1462" s="1222"/>
      <c r="AD1462" s="1222"/>
      <c r="AE1462" s="1222"/>
    </row>
    <row r="1463" spans="1:31" ht="39.6">
      <c r="A1463" s="1062"/>
      <c r="B1463" s="991" t="s">
        <v>48</v>
      </c>
      <c r="C1463" s="1074"/>
      <c r="D1463" s="1073" t="s">
        <v>29</v>
      </c>
      <c r="E1463" s="1073"/>
      <c r="F1463" s="1073"/>
      <c r="G1463" s="1073"/>
      <c r="H1463" s="1073" t="s">
        <v>49</v>
      </c>
      <c r="I1463" s="1090" t="s">
        <v>34</v>
      </c>
      <c r="J1463" s="1269" t="s">
        <v>1653</v>
      </c>
      <c r="K1463" s="1109"/>
      <c r="L1463" s="1129" t="s">
        <v>125</v>
      </c>
      <c r="M1463" s="1129"/>
      <c r="N1463" s="1129"/>
      <c r="O1463" s="1138" t="s">
        <v>125</v>
      </c>
      <c r="P1463" s="1152" t="s">
        <v>125</v>
      </c>
      <c r="Q1463" s="1152" t="s">
        <v>125</v>
      </c>
      <c r="R1463" s="1290">
        <v>90000</v>
      </c>
      <c r="S1463" s="1198" t="s">
        <v>125</v>
      </c>
      <c r="T1463" s="1119" t="s">
        <v>54</v>
      </c>
      <c r="U1463" s="1119"/>
      <c r="V1463" s="1119"/>
      <c r="W1463" s="1090" t="s">
        <v>406</v>
      </c>
      <c r="X1463" s="1222"/>
      <c r="Y1463" s="1222"/>
      <c r="Z1463" s="1222"/>
      <c r="AA1463" s="1222"/>
      <c r="AB1463" s="1222"/>
      <c r="AC1463" s="1222"/>
      <c r="AD1463" s="1222"/>
      <c r="AE1463" s="1222"/>
    </row>
    <row r="1464" spans="1:31" ht="39.6">
      <c r="A1464" s="1062"/>
      <c r="B1464" s="991" t="s">
        <v>48</v>
      </c>
      <c r="C1464" s="1074"/>
      <c r="D1464" s="1073" t="s">
        <v>29</v>
      </c>
      <c r="E1464" s="1073"/>
      <c r="F1464" s="1073"/>
      <c r="G1464" s="1073"/>
      <c r="H1464" s="1073" t="s">
        <v>49</v>
      </c>
      <c r="I1464" s="1090" t="s">
        <v>34</v>
      </c>
      <c r="J1464" s="1269" t="s">
        <v>1654</v>
      </c>
      <c r="K1464" s="1109"/>
      <c r="L1464" s="1129" t="s">
        <v>125</v>
      </c>
      <c r="M1464" s="1129"/>
      <c r="N1464" s="1129"/>
      <c r="O1464" s="1138" t="s">
        <v>125</v>
      </c>
      <c r="P1464" s="1152" t="s">
        <v>125</v>
      </c>
      <c r="Q1464" s="1152" t="s">
        <v>125</v>
      </c>
      <c r="R1464" s="1178">
        <v>90000</v>
      </c>
      <c r="S1464" s="1198" t="s">
        <v>125</v>
      </c>
      <c r="T1464" s="1119" t="s">
        <v>54</v>
      </c>
      <c r="U1464" s="1119"/>
      <c r="V1464" s="1119"/>
      <c r="W1464" s="1090" t="s">
        <v>406</v>
      </c>
      <c r="X1464" s="1222"/>
      <c r="Y1464" s="1222"/>
      <c r="Z1464" s="1222"/>
      <c r="AA1464" s="1222"/>
      <c r="AB1464" s="1222"/>
      <c r="AC1464" s="1222"/>
      <c r="AD1464" s="1222"/>
      <c r="AE1464" s="1222"/>
    </row>
    <row r="1465" spans="1:31" ht="39.6">
      <c r="A1465" s="1062"/>
      <c r="B1465" s="991" t="s">
        <v>48</v>
      </c>
      <c r="C1465" s="1074"/>
      <c r="D1465" s="1073" t="s">
        <v>29</v>
      </c>
      <c r="E1465" s="1073"/>
      <c r="F1465" s="1073"/>
      <c r="G1465" s="1073"/>
      <c r="H1465" s="1073" t="s">
        <v>49</v>
      </c>
      <c r="I1465" s="1090" t="s">
        <v>34</v>
      </c>
      <c r="J1465" s="1097" t="s">
        <v>1659</v>
      </c>
      <c r="K1465" s="1108"/>
      <c r="L1465" s="1138" t="s">
        <v>125</v>
      </c>
      <c r="M1465" s="1138"/>
      <c r="N1465" s="1138"/>
      <c r="O1465" s="1138" t="s">
        <v>125</v>
      </c>
      <c r="P1465" s="1152" t="s">
        <v>125</v>
      </c>
      <c r="Q1465" s="1152"/>
      <c r="R1465" s="1178">
        <v>1344000</v>
      </c>
      <c r="S1465" s="1198" t="s">
        <v>125</v>
      </c>
      <c r="T1465" s="1119" t="s">
        <v>54</v>
      </c>
      <c r="U1465" s="1119"/>
      <c r="V1465" s="1119"/>
      <c r="W1465" s="1090" t="s">
        <v>406</v>
      </c>
      <c r="X1465" s="1222"/>
      <c r="Y1465" s="1222"/>
      <c r="Z1465" s="1222"/>
      <c r="AA1465" s="1222"/>
      <c r="AB1465" s="1222"/>
      <c r="AC1465" s="1222"/>
      <c r="AD1465" s="1222"/>
      <c r="AE1465" s="1222"/>
    </row>
    <row r="1466" spans="1:31" ht="52.8">
      <c r="A1466" s="1062"/>
      <c r="B1466" s="991" t="s">
        <v>48</v>
      </c>
      <c r="C1466" s="1074" t="s">
        <v>1664</v>
      </c>
      <c r="D1466" s="1073" t="s">
        <v>60</v>
      </c>
      <c r="E1466" s="1073"/>
      <c r="F1466" s="1073"/>
      <c r="G1466" s="1073"/>
      <c r="H1466" s="1073" t="s">
        <v>127</v>
      </c>
      <c r="I1466" s="1090" t="s">
        <v>34</v>
      </c>
      <c r="J1466" s="1097" t="s">
        <v>1665</v>
      </c>
      <c r="K1466" s="1108"/>
      <c r="L1466" s="1138" t="s">
        <v>125</v>
      </c>
      <c r="M1466" s="1138"/>
      <c r="N1466" s="1138"/>
      <c r="O1466" s="1138" t="s">
        <v>125</v>
      </c>
      <c r="P1466" s="1152" t="s">
        <v>125</v>
      </c>
      <c r="Q1466" s="1152" t="s">
        <v>125</v>
      </c>
      <c r="R1466" s="1178">
        <v>200000</v>
      </c>
      <c r="S1466" s="1198" t="s">
        <v>125</v>
      </c>
      <c r="T1466" s="1119" t="s">
        <v>1218</v>
      </c>
      <c r="U1466" s="1119"/>
      <c r="V1466" s="1119"/>
      <c r="W1466" s="1090" t="s">
        <v>1592</v>
      </c>
      <c r="X1466" s="1222"/>
      <c r="Y1466" s="1222"/>
      <c r="Z1466" s="1222"/>
      <c r="AA1466" s="1222"/>
      <c r="AB1466" s="1222"/>
      <c r="AC1466" s="1222"/>
      <c r="AD1466" s="1222"/>
      <c r="AE1466" s="1222"/>
    </row>
    <row r="1467" spans="1:31" ht="52.8">
      <c r="A1467" s="1062"/>
      <c r="B1467" s="991" t="s">
        <v>48</v>
      </c>
      <c r="C1467" s="1074" t="s">
        <v>1677</v>
      </c>
      <c r="D1467" s="1073" t="s">
        <v>60</v>
      </c>
      <c r="E1467" s="1073"/>
      <c r="F1467" s="1073"/>
      <c r="G1467" s="1073"/>
      <c r="H1467" s="1073" t="s">
        <v>127</v>
      </c>
      <c r="I1467" s="1090" t="s">
        <v>34</v>
      </c>
      <c r="J1467" s="1097" t="s">
        <v>1678</v>
      </c>
      <c r="K1467" s="1108"/>
      <c r="L1467" s="1138">
        <v>43132</v>
      </c>
      <c r="M1467" s="1138"/>
      <c r="N1467" s="1138"/>
      <c r="O1467" s="1138" t="s">
        <v>125</v>
      </c>
      <c r="P1467" s="1152" t="s">
        <v>1679</v>
      </c>
      <c r="Q1467" s="1152" t="s">
        <v>1627</v>
      </c>
      <c r="R1467" s="1178" t="s">
        <v>125</v>
      </c>
      <c r="S1467" s="1198" t="s">
        <v>158</v>
      </c>
      <c r="T1467" s="1119" t="s">
        <v>54</v>
      </c>
      <c r="U1467" s="1119"/>
      <c r="V1467" s="1119"/>
      <c r="W1467" s="1073" t="s">
        <v>855</v>
      </c>
      <c r="X1467" s="1222"/>
      <c r="Y1467" s="1222"/>
      <c r="Z1467" s="1222"/>
      <c r="AA1467" s="1222"/>
      <c r="AB1467" s="1222"/>
      <c r="AC1467" s="1222"/>
      <c r="AD1467" s="1222"/>
      <c r="AE1467" s="1222"/>
    </row>
    <row r="1468" spans="1:31" ht="52.8">
      <c r="A1468" s="1062"/>
      <c r="B1468" s="991" t="s">
        <v>48</v>
      </c>
      <c r="C1468" s="1074"/>
      <c r="D1468" s="1073" t="s">
        <v>60</v>
      </c>
      <c r="E1468" s="1073"/>
      <c r="F1468" s="1073"/>
      <c r="G1468" s="1073"/>
      <c r="H1468" s="1073" t="s">
        <v>127</v>
      </c>
      <c r="I1468" s="1090" t="s">
        <v>34</v>
      </c>
      <c r="J1468" s="1097" t="s">
        <v>1683</v>
      </c>
      <c r="K1468" s="1108"/>
      <c r="L1468" s="1138">
        <v>43102</v>
      </c>
      <c r="M1468" s="1138"/>
      <c r="N1468" s="1138"/>
      <c r="O1468" s="1138" t="s">
        <v>125</v>
      </c>
      <c r="P1468" s="1152">
        <v>1</v>
      </c>
      <c r="Q1468" s="1152">
        <v>1</v>
      </c>
      <c r="R1468" s="1178">
        <v>70404</v>
      </c>
      <c r="S1468" s="1198" t="s">
        <v>1663</v>
      </c>
      <c r="T1468" s="1119" t="s">
        <v>54</v>
      </c>
      <c r="U1468" s="1119"/>
      <c r="V1468" s="1119"/>
      <c r="W1468" s="1090" t="s">
        <v>1684</v>
      </c>
      <c r="X1468" s="1222"/>
      <c r="Y1468" s="1222"/>
      <c r="Z1468" s="1222"/>
      <c r="AA1468" s="1222"/>
      <c r="AB1468" s="1222"/>
      <c r="AC1468" s="1222"/>
      <c r="AD1468" s="1222"/>
      <c r="AE1468" s="1222"/>
    </row>
    <row r="1469" spans="1:31" ht="52.8">
      <c r="A1469" s="1062"/>
      <c r="B1469" s="991" t="s">
        <v>48</v>
      </c>
      <c r="C1469" s="1074"/>
      <c r="D1469" s="1073" t="s">
        <v>60</v>
      </c>
      <c r="E1469" s="1073"/>
      <c r="F1469" s="1073"/>
      <c r="G1469" s="1073"/>
      <c r="H1469" s="1073" t="s">
        <v>127</v>
      </c>
      <c r="I1469" s="1090" t="s">
        <v>34</v>
      </c>
      <c r="J1469" s="1097" t="s">
        <v>1688</v>
      </c>
      <c r="K1469" s="1108"/>
      <c r="L1469" s="1138" t="s">
        <v>125</v>
      </c>
      <c r="M1469" s="1138"/>
      <c r="N1469" s="1138"/>
      <c r="O1469" s="1138" t="s">
        <v>125</v>
      </c>
      <c r="P1469" s="1152" t="s">
        <v>125</v>
      </c>
      <c r="Q1469" s="1152" t="s">
        <v>125</v>
      </c>
      <c r="R1469" s="1178">
        <v>400000</v>
      </c>
      <c r="S1469" s="1198" t="s">
        <v>1663</v>
      </c>
      <c r="T1469" s="1119" t="s">
        <v>54</v>
      </c>
      <c r="U1469" s="1119"/>
      <c r="V1469" s="1119"/>
      <c r="W1469" s="1090" t="s">
        <v>1381</v>
      </c>
      <c r="X1469" s="1222"/>
      <c r="Y1469" s="1222"/>
      <c r="Z1469" s="1222"/>
      <c r="AA1469" s="1222"/>
      <c r="AB1469" s="1222"/>
      <c r="AC1469" s="1222"/>
      <c r="AD1469" s="1222"/>
      <c r="AE1469" s="1222"/>
    </row>
    <row r="1470" spans="1:31" ht="52.8">
      <c r="A1470" s="1062"/>
      <c r="B1470" s="991" t="s">
        <v>48</v>
      </c>
      <c r="C1470" s="1074"/>
      <c r="D1470" s="1073" t="s">
        <v>60</v>
      </c>
      <c r="E1470" s="1073"/>
      <c r="F1470" s="1073"/>
      <c r="G1470" s="1073"/>
      <c r="H1470" s="1073" t="s">
        <v>127</v>
      </c>
      <c r="I1470" s="1090" t="s">
        <v>34</v>
      </c>
      <c r="J1470" s="1097" t="s">
        <v>1689</v>
      </c>
      <c r="K1470" s="1108"/>
      <c r="L1470" s="1138" t="s">
        <v>125</v>
      </c>
      <c r="M1470" s="1138"/>
      <c r="N1470" s="1138"/>
      <c r="O1470" s="1138" t="s">
        <v>125</v>
      </c>
      <c r="P1470" s="1152" t="s">
        <v>125</v>
      </c>
      <c r="Q1470" s="1152" t="s">
        <v>125</v>
      </c>
      <c r="R1470" s="1178">
        <v>173040</v>
      </c>
      <c r="S1470" s="1198" t="s">
        <v>1663</v>
      </c>
      <c r="T1470" s="1119" t="s">
        <v>54</v>
      </c>
      <c r="U1470" s="1119"/>
      <c r="V1470" s="1119"/>
      <c r="W1470" s="1090" t="s">
        <v>1690</v>
      </c>
      <c r="X1470" s="1222"/>
      <c r="Y1470" s="1222"/>
      <c r="Z1470" s="1222"/>
      <c r="AA1470" s="1222"/>
      <c r="AB1470" s="1222"/>
      <c r="AC1470" s="1222"/>
      <c r="AD1470" s="1222"/>
      <c r="AE1470" s="1222"/>
    </row>
    <row r="1471" spans="1:31" ht="52.8">
      <c r="A1471" s="1062"/>
      <c r="B1471" s="991" t="s">
        <v>48</v>
      </c>
      <c r="C1471" s="1074"/>
      <c r="D1471" s="1073" t="s">
        <v>60</v>
      </c>
      <c r="E1471" s="1073"/>
      <c r="F1471" s="1073"/>
      <c r="G1471" s="1073"/>
      <c r="H1471" s="1073" t="s">
        <v>127</v>
      </c>
      <c r="I1471" s="1090" t="s">
        <v>34</v>
      </c>
      <c r="J1471" s="1097" t="s">
        <v>1691</v>
      </c>
      <c r="K1471" s="1108"/>
      <c r="L1471" s="1138" t="s">
        <v>35</v>
      </c>
      <c r="M1471" s="1138"/>
      <c r="N1471" s="1138"/>
      <c r="O1471" s="1138" t="s">
        <v>125</v>
      </c>
      <c r="P1471" s="1152" t="s">
        <v>125</v>
      </c>
      <c r="Q1471" s="1152" t="s">
        <v>125</v>
      </c>
      <c r="R1471" s="1178">
        <v>250000</v>
      </c>
      <c r="S1471" s="1198" t="s">
        <v>1663</v>
      </c>
      <c r="T1471" s="1119" t="s">
        <v>54</v>
      </c>
      <c r="U1471" s="1119"/>
      <c r="V1471" s="1119"/>
      <c r="W1471" s="1090" t="s">
        <v>1478</v>
      </c>
      <c r="X1471" s="1222"/>
      <c r="Y1471" s="1222"/>
      <c r="Z1471" s="1222"/>
      <c r="AA1471" s="1222"/>
      <c r="AB1471" s="1222"/>
      <c r="AC1471" s="1222"/>
      <c r="AD1471" s="1222"/>
      <c r="AE1471" s="1222"/>
    </row>
    <row r="1472" spans="1:31" ht="52.8">
      <c r="A1472" s="1062"/>
      <c r="B1472" s="991" t="s">
        <v>48</v>
      </c>
      <c r="C1472" s="1074"/>
      <c r="D1472" s="1073" t="s">
        <v>60</v>
      </c>
      <c r="E1472" s="1073"/>
      <c r="F1472" s="1073"/>
      <c r="G1472" s="1073"/>
      <c r="H1472" s="1073" t="s">
        <v>127</v>
      </c>
      <c r="I1472" s="1090" t="s">
        <v>34</v>
      </c>
      <c r="J1472" s="1097" t="s">
        <v>1692</v>
      </c>
      <c r="K1472" s="1108"/>
      <c r="L1472" s="1138" t="s">
        <v>35</v>
      </c>
      <c r="M1472" s="1138"/>
      <c r="N1472" s="1138"/>
      <c r="O1472" s="1138" t="s">
        <v>1693</v>
      </c>
      <c r="P1472" s="1152" t="s">
        <v>125</v>
      </c>
      <c r="Q1472" s="1152" t="s">
        <v>125</v>
      </c>
      <c r="R1472" s="1178">
        <v>200000</v>
      </c>
      <c r="S1472" s="1198" t="s">
        <v>1663</v>
      </c>
      <c r="T1472" s="1119" t="s">
        <v>54</v>
      </c>
      <c r="U1472" s="1119"/>
      <c r="V1472" s="1119"/>
      <c r="W1472" s="1090" t="s">
        <v>1478</v>
      </c>
      <c r="X1472" s="1222"/>
      <c r="Y1472" s="1222"/>
      <c r="Z1472" s="1222"/>
      <c r="AA1472" s="1222"/>
      <c r="AB1472" s="1222"/>
      <c r="AC1472" s="1222"/>
      <c r="AD1472" s="1222"/>
      <c r="AE1472" s="1222"/>
    </row>
    <row r="1473" spans="1:31" ht="52.8">
      <c r="A1473" s="1062"/>
      <c r="B1473" s="991" t="s">
        <v>48</v>
      </c>
      <c r="C1473" s="1074" t="s">
        <v>1694</v>
      </c>
      <c r="D1473" s="1073" t="s">
        <v>60</v>
      </c>
      <c r="E1473" s="1073"/>
      <c r="F1473" s="1073"/>
      <c r="G1473" s="1073"/>
      <c r="H1473" s="1073" t="s">
        <v>127</v>
      </c>
      <c r="I1473" s="1090" t="s">
        <v>34</v>
      </c>
      <c r="J1473" s="1097" t="s">
        <v>1695</v>
      </c>
      <c r="K1473" s="1108"/>
      <c r="L1473" s="1129" t="s">
        <v>125</v>
      </c>
      <c r="M1473" s="1129"/>
      <c r="N1473" s="1129"/>
      <c r="O1473" s="1138" t="s">
        <v>125</v>
      </c>
      <c r="P1473" s="1152" t="s">
        <v>125</v>
      </c>
      <c r="Q1473" s="1152" t="s">
        <v>125</v>
      </c>
      <c r="R1473" s="1178">
        <v>200000</v>
      </c>
      <c r="S1473" s="1198" t="s">
        <v>1663</v>
      </c>
      <c r="T1473" s="1119" t="s">
        <v>54</v>
      </c>
      <c r="U1473" s="1119"/>
      <c r="V1473" s="1119"/>
      <c r="W1473" s="1073" t="s">
        <v>1681</v>
      </c>
      <c r="X1473" s="1222"/>
      <c r="Y1473" s="1222"/>
      <c r="Z1473" s="1222"/>
      <c r="AA1473" s="1222"/>
      <c r="AB1473" s="1222"/>
      <c r="AC1473" s="1222"/>
      <c r="AD1473" s="1222"/>
      <c r="AE1473" s="1222"/>
    </row>
    <row r="1474" spans="1:31" ht="52.8">
      <c r="A1474" s="1062"/>
      <c r="B1474" s="991" t="s">
        <v>48</v>
      </c>
      <c r="C1474" s="1074"/>
      <c r="D1474" s="1073" t="s">
        <v>60</v>
      </c>
      <c r="E1474" s="1073"/>
      <c r="F1474" s="1073"/>
      <c r="G1474" s="1073"/>
      <c r="H1474" s="1073" t="s">
        <v>127</v>
      </c>
      <c r="I1474" s="1090" t="s">
        <v>34</v>
      </c>
      <c r="J1474" s="1097" t="s">
        <v>1696</v>
      </c>
      <c r="K1474" s="1108"/>
      <c r="L1474" s="1138">
        <v>43313</v>
      </c>
      <c r="M1474" s="1138"/>
      <c r="N1474" s="1138"/>
      <c r="O1474" s="1138" t="s">
        <v>35</v>
      </c>
      <c r="P1474" s="1152">
        <v>1</v>
      </c>
      <c r="Q1474" s="1152">
        <v>1</v>
      </c>
      <c r="R1474" s="1178">
        <v>50000</v>
      </c>
      <c r="S1474" s="1198" t="s">
        <v>1663</v>
      </c>
      <c r="T1474" s="1119" t="s">
        <v>54</v>
      </c>
      <c r="U1474" s="1119"/>
      <c r="V1474" s="1119"/>
      <c r="W1474" s="1073" t="s">
        <v>125</v>
      </c>
      <c r="X1474" s="1222"/>
      <c r="Y1474" s="1222"/>
      <c r="Z1474" s="1222"/>
      <c r="AA1474" s="1222"/>
      <c r="AB1474" s="1222"/>
      <c r="AC1474" s="1222"/>
      <c r="AD1474" s="1222"/>
      <c r="AE1474" s="1222"/>
    </row>
    <row r="1475" spans="1:31" ht="52.8">
      <c r="A1475" s="1062"/>
      <c r="B1475" s="991" t="s">
        <v>48</v>
      </c>
      <c r="C1475" s="1074"/>
      <c r="D1475" s="1073" t="s">
        <v>60</v>
      </c>
      <c r="E1475" s="1073"/>
      <c r="F1475" s="1073"/>
      <c r="G1475" s="1073"/>
      <c r="H1475" s="1073" t="s">
        <v>127</v>
      </c>
      <c r="I1475" s="1090" t="s">
        <v>34</v>
      </c>
      <c r="J1475" s="1097" t="s">
        <v>1697</v>
      </c>
      <c r="K1475" s="1108"/>
      <c r="L1475" s="1138" t="s">
        <v>35</v>
      </c>
      <c r="M1475" s="1138"/>
      <c r="N1475" s="1138"/>
      <c r="O1475" s="1138" t="s">
        <v>35</v>
      </c>
      <c r="P1475" s="1152" t="s">
        <v>35</v>
      </c>
      <c r="Q1475" s="1152" t="s">
        <v>35</v>
      </c>
      <c r="R1475" s="1178">
        <v>30000</v>
      </c>
      <c r="S1475" s="1198" t="s">
        <v>1663</v>
      </c>
      <c r="T1475" s="1119" t="s">
        <v>54</v>
      </c>
      <c r="U1475" s="1119"/>
      <c r="V1475" s="1119"/>
      <c r="W1475" s="1073" t="s">
        <v>125</v>
      </c>
      <c r="X1475" s="1222"/>
      <c r="Y1475" s="1222"/>
      <c r="Z1475" s="1222"/>
      <c r="AA1475" s="1222"/>
      <c r="AB1475" s="1222"/>
      <c r="AC1475" s="1222"/>
      <c r="AD1475" s="1222"/>
      <c r="AE1475" s="1222"/>
    </row>
    <row r="1476" spans="1:31" ht="52.8">
      <c r="A1476" s="1062"/>
      <c r="B1476" s="991" t="s">
        <v>48</v>
      </c>
      <c r="C1476" s="1074"/>
      <c r="D1476" s="1073" t="s">
        <v>60</v>
      </c>
      <c r="E1476" s="1073"/>
      <c r="F1476" s="1073"/>
      <c r="G1476" s="1073"/>
      <c r="H1476" s="1073" t="s">
        <v>127</v>
      </c>
      <c r="I1476" s="1090" t="s">
        <v>34</v>
      </c>
      <c r="J1476" s="1097" t="s">
        <v>1698</v>
      </c>
      <c r="K1476" s="1108"/>
      <c r="L1476" s="1138" t="s">
        <v>125</v>
      </c>
      <c r="M1476" s="1138"/>
      <c r="N1476" s="1138"/>
      <c r="O1476" s="1138" t="s">
        <v>125</v>
      </c>
      <c r="P1476" s="1152" t="s">
        <v>125</v>
      </c>
      <c r="Q1476" s="1152" t="s">
        <v>125</v>
      </c>
      <c r="R1476" s="1178">
        <v>230000</v>
      </c>
      <c r="S1476" s="1198" t="s">
        <v>1663</v>
      </c>
      <c r="T1476" s="1119" t="s">
        <v>54</v>
      </c>
      <c r="U1476" s="1119"/>
      <c r="V1476" s="1119"/>
      <c r="W1476" s="1090" t="s">
        <v>1699</v>
      </c>
      <c r="X1476" s="1222"/>
      <c r="Y1476" s="1222"/>
      <c r="Z1476" s="1222"/>
      <c r="AA1476" s="1222"/>
      <c r="AB1476" s="1222"/>
      <c r="AC1476" s="1222"/>
      <c r="AD1476" s="1222"/>
      <c r="AE1476" s="1222"/>
    </row>
    <row r="1477" spans="1:31" ht="52.8">
      <c r="A1477" s="1062"/>
      <c r="B1477" s="991" t="s">
        <v>48</v>
      </c>
      <c r="C1477" s="1074"/>
      <c r="D1477" s="1073" t="s">
        <v>60</v>
      </c>
      <c r="E1477" s="1073"/>
      <c r="F1477" s="1073"/>
      <c r="G1477" s="1073"/>
      <c r="H1477" s="1073" t="s">
        <v>127</v>
      </c>
      <c r="I1477" s="1090" t="s">
        <v>34</v>
      </c>
      <c r="J1477" s="1097" t="s">
        <v>1700</v>
      </c>
      <c r="K1477" s="1108"/>
      <c r="L1477" s="1138" t="s">
        <v>125</v>
      </c>
      <c r="M1477" s="1138"/>
      <c r="N1477" s="1138"/>
      <c r="O1477" s="1138" t="s">
        <v>125</v>
      </c>
      <c r="P1477" s="1152" t="s">
        <v>125</v>
      </c>
      <c r="Q1477" s="1152" t="s">
        <v>125</v>
      </c>
      <c r="R1477" s="1178">
        <v>185000</v>
      </c>
      <c r="S1477" s="1198" t="s">
        <v>1663</v>
      </c>
      <c r="T1477" s="1119" t="s">
        <v>54</v>
      </c>
      <c r="U1477" s="1119"/>
      <c r="V1477" s="1119"/>
      <c r="W1477" s="1090" t="s">
        <v>1699</v>
      </c>
      <c r="X1477" s="1222"/>
      <c r="Y1477" s="1222"/>
      <c r="Z1477" s="1222"/>
      <c r="AA1477" s="1222"/>
      <c r="AB1477" s="1222"/>
      <c r="AC1477" s="1222"/>
      <c r="AD1477" s="1222"/>
      <c r="AE1477" s="1222"/>
    </row>
    <row r="1478" spans="1:31" ht="39.6">
      <c r="A1478" s="1062"/>
      <c r="B1478" s="991" t="s">
        <v>48</v>
      </c>
      <c r="C1478" s="1073"/>
      <c r="D1478" s="1073" t="s">
        <v>29</v>
      </c>
      <c r="E1478" s="1073"/>
      <c r="F1478" s="1073"/>
      <c r="G1478" s="1073"/>
      <c r="H1478" s="1073" t="s">
        <v>49</v>
      </c>
      <c r="I1478" s="1090" t="s">
        <v>34</v>
      </c>
      <c r="J1478" s="1096" t="s">
        <v>1710</v>
      </c>
      <c r="K1478" s="1107"/>
      <c r="L1478" s="1129" t="s">
        <v>125</v>
      </c>
      <c r="M1478" s="1129"/>
      <c r="N1478" s="1129"/>
      <c r="O1478" s="1138" t="s">
        <v>125</v>
      </c>
      <c r="P1478" s="1152" t="s">
        <v>125</v>
      </c>
      <c r="Q1478" s="1152" t="s">
        <v>125</v>
      </c>
      <c r="R1478" s="1290" t="s">
        <v>125</v>
      </c>
      <c r="S1478" s="1198" t="s">
        <v>125</v>
      </c>
      <c r="T1478" s="1119" t="s">
        <v>54</v>
      </c>
      <c r="U1478" s="1119"/>
      <c r="V1478" s="1119"/>
      <c r="W1478" s="1090" t="s">
        <v>406</v>
      </c>
      <c r="X1478" s="1222"/>
      <c r="Y1478" s="1222"/>
      <c r="Z1478" s="1222"/>
      <c r="AA1478" s="1222"/>
      <c r="AB1478" s="1222"/>
      <c r="AC1478" s="1222"/>
      <c r="AD1478" s="1222"/>
      <c r="AE1478" s="1222"/>
    </row>
    <row r="1479" spans="1:31" ht="52.8">
      <c r="A1479" s="1062"/>
      <c r="B1479" s="991" t="s">
        <v>48</v>
      </c>
      <c r="C1479" s="1074"/>
      <c r="D1479" s="1073" t="s">
        <v>60</v>
      </c>
      <c r="E1479" s="1073"/>
      <c r="F1479" s="1073"/>
      <c r="G1479" s="1073"/>
      <c r="H1479" s="1073" t="s">
        <v>127</v>
      </c>
      <c r="I1479" s="1090" t="s">
        <v>34</v>
      </c>
      <c r="J1479" s="1097" t="s">
        <v>1714</v>
      </c>
      <c r="K1479" s="1108"/>
      <c r="L1479" s="1138" t="s">
        <v>35</v>
      </c>
      <c r="M1479" s="1138"/>
      <c r="N1479" s="1138"/>
      <c r="O1479" s="1138" t="s">
        <v>35</v>
      </c>
      <c r="P1479" s="1152" t="s">
        <v>125</v>
      </c>
      <c r="Q1479" s="1152" t="s">
        <v>35</v>
      </c>
      <c r="R1479" s="1292">
        <v>8000</v>
      </c>
      <c r="S1479" s="1198" t="s">
        <v>163</v>
      </c>
      <c r="T1479" s="1119" t="s">
        <v>54</v>
      </c>
      <c r="U1479" s="1119"/>
      <c r="V1479" s="1119"/>
      <c r="W1479" s="1090" t="s">
        <v>1381</v>
      </c>
      <c r="X1479" s="1222"/>
      <c r="Y1479" s="1222"/>
      <c r="Z1479" s="1222"/>
      <c r="AA1479" s="1222"/>
      <c r="AB1479" s="1222"/>
      <c r="AC1479" s="1222"/>
      <c r="AD1479" s="1222"/>
      <c r="AE1479" s="1222"/>
    </row>
    <row r="1480" spans="1:31" ht="52.8">
      <c r="A1480" s="1062"/>
      <c r="B1480" s="991" t="s">
        <v>48</v>
      </c>
      <c r="C1480" s="1074"/>
      <c r="D1480" s="1073" t="s">
        <v>60</v>
      </c>
      <c r="E1480" s="1073"/>
      <c r="F1480" s="1073"/>
      <c r="G1480" s="1073"/>
      <c r="H1480" s="1073" t="s">
        <v>127</v>
      </c>
      <c r="I1480" s="1090" t="s">
        <v>34</v>
      </c>
      <c r="J1480" s="1097" t="s">
        <v>1718</v>
      </c>
      <c r="K1480" s="1108"/>
      <c r="L1480" s="1138" t="s">
        <v>125</v>
      </c>
      <c r="M1480" s="1138"/>
      <c r="N1480" s="1138"/>
      <c r="O1480" s="1138" t="s">
        <v>125</v>
      </c>
      <c r="P1480" s="1152" t="s">
        <v>125</v>
      </c>
      <c r="Q1480" s="1152" t="s">
        <v>125</v>
      </c>
      <c r="R1480" s="1178">
        <v>50470</v>
      </c>
      <c r="S1480" s="1198" t="s">
        <v>125</v>
      </c>
      <c r="T1480" s="1119" t="s">
        <v>54</v>
      </c>
      <c r="U1480" s="1119"/>
      <c r="V1480" s="1119"/>
      <c r="W1480" s="1090" t="s">
        <v>125</v>
      </c>
      <c r="X1480" s="1222"/>
      <c r="Y1480" s="1222"/>
      <c r="Z1480" s="1222"/>
      <c r="AA1480" s="1222"/>
      <c r="AB1480" s="1222"/>
      <c r="AC1480" s="1222"/>
      <c r="AD1480" s="1222"/>
      <c r="AE1480" s="1222"/>
    </row>
    <row r="1481" spans="1:31" ht="52.8">
      <c r="A1481" s="1062"/>
      <c r="B1481" s="991" t="s">
        <v>48</v>
      </c>
      <c r="C1481" s="1074"/>
      <c r="D1481" s="1073" t="s">
        <v>60</v>
      </c>
      <c r="E1481" s="1073"/>
      <c r="F1481" s="1073"/>
      <c r="G1481" s="1073"/>
      <c r="H1481" s="1073" t="s">
        <v>127</v>
      </c>
      <c r="I1481" s="1090" t="s">
        <v>34</v>
      </c>
      <c r="J1481" s="1097" t="s">
        <v>1719</v>
      </c>
      <c r="K1481" s="1108"/>
      <c r="L1481" s="1138" t="s">
        <v>125</v>
      </c>
      <c r="M1481" s="1138"/>
      <c r="N1481" s="1138"/>
      <c r="O1481" s="1138" t="s">
        <v>125</v>
      </c>
      <c r="P1481" s="1152" t="s">
        <v>125</v>
      </c>
      <c r="Q1481" s="1152" t="s">
        <v>125</v>
      </c>
      <c r="R1481" s="1178">
        <v>25750</v>
      </c>
      <c r="S1481" s="1198" t="s">
        <v>125</v>
      </c>
      <c r="T1481" s="1119" t="s">
        <v>54</v>
      </c>
      <c r="U1481" s="1119"/>
      <c r="V1481" s="1119"/>
      <c r="W1481" s="1090" t="s">
        <v>125</v>
      </c>
      <c r="X1481" s="1222"/>
      <c r="Y1481" s="1222"/>
      <c r="Z1481" s="1222"/>
      <c r="AA1481" s="1222"/>
      <c r="AB1481" s="1222"/>
      <c r="AC1481" s="1222"/>
      <c r="AD1481" s="1222"/>
      <c r="AE1481" s="1222"/>
    </row>
    <row r="1482" spans="1:31" ht="52.8">
      <c r="A1482" s="1062"/>
      <c r="B1482" s="991" t="s">
        <v>48</v>
      </c>
      <c r="C1482" s="1074"/>
      <c r="D1482" s="1073" t="s">
        <v>60</v>
      </c>
      <c r="E1482" s="1073"/>
      <c r="F1482" s="1073"/>
      <c r="G1482" s="1073"/>
      <c r="H1482" s="1073" t="s">
        <v>127</v>
      </c>
      <c r="I1482" s="1090" t="s">
        <v>34</v>
      </c>
      <c r="J1482" s="1097" t="s">
        <v>1723</v>
      </c>
      <c r="K1482" s="1108"/>
      <c r="L1482" s="1138">
        <v>43132</v>
      </c>
      <c r="M1482" s="1138"/>
      <c r="N1482" s="1138"/>
      <c r="O1482" s="1138" t="s">
        <v>125</v>
      </c>
      <c r="P1482" s="1152" t="s">
        <v>35</v>
      </c>
      <c r="Q1482" s="1152" t="s">
        <v>35</v>
      </c>
      <c r="R1482" s="1178">
        <v>214566</v>
      </c>
      <c r="S1482" s="1198" t="s">
        <v>1663</v>
      </c>
      <c r="T1482" s="1119" t="s">
        <v>54</v>
      </c>
      <c r="U1482" s="1119"/>
      <c r="V1482" s="1119"/>
      <c r="W1482" s="1090" t="s">
        <v>125</v>
      </c>
      <c r="X1482" s="1222"/>
      <c r="Y1482" s="1222"/>
      <c r="Z1482" s="1222"/>
      <c r="AA1482" s="1222"/>
      <c r="AB1482" s="1222"/>
      <c r="AC1482" s="1222"/>
      <c r="AD1482" s="1222"/>
      <c r="AE1482" s="1222"/>
    </row>
    <row r="1483" spans="1:31" ht="52.8">
      <c r="A1483" s="1062"/>
      <c r="B1483" s="991" t="s">
        <v>48</v>
      </c>
      <c r="C1483" s="1074"/>
      <c r="D1483" s="1073" t="s">
        <v>60</v>
      </c>
      <c r="E1483" s="1073"/>
      <c r="F1483" s="1073"/>
      <c r="G1483" s="1073"/>
      <c r="H1483" s="1073" t="s">
        <v>127</v>
      </c>
      <c r="I1483" s="1090" t="s">
        <v>34</v>
      </c>
      <c r="J1483" s="1097" t="s">
        <v>1724</v>
      </c>
      <c r="K1483" s="1108"/>
      <c r="L1483" s="1138" t="s">
        <v>125</v>
      </c>
      <c r="M1483" s="1138"/>
      <c r="N1483" s="1138"/>
      <c r="O1483" s="1138" t="s">
        <v>125</v>
      </c>
      <c r="P1483" s="1152" t="s">
        <v>125</v>
      </c>
      <c r="Q1483" s="1152" t="s">
        <v>125</v>
      </c>
      <c r="R1483" s="1178">
        <v>177241</v>
      </c>
      <c r="S1483" s="1198" t="s">
        <v>125</v>
      </c>
      <c r="T1483" s="1119" t="s">
        <v>1218</v>
      </c>
      <c r="U1483" s="1119"/>
      <c r="V1483" s="1119"/>
      <c r="W1483" s="1090" t="s">
        <v>125</v>
      </c>
      <c r="X1483" s="1222"/>
      <c r="Y1483" s="1222"/>
      <c r="Z1483" s="1222"/>
      <c r="AA1483" s="1222"/>
      <c r="AB1483" s="1222"/>
      <c r="AC1483" s="1222"/>
      <c r="AD1483" s="1222"/>
      <c r="AE1483" s="1222"/>
    </row>
    <row r="1484" spans="1:31" ht="52.8">
      <c r="A1484" s="1062"/>
      <c r="B1484" s="991" t="s">
        <v>48</v>
      </c>
      <c r="C1484" s="1074"/>
      <c r="D1484" s="1073" t="s">
        <v>60</v>
      </c>
      <c r="E1484" s="1073"/>
      <c r="F1484" s="1073"/>
      <c r="G1484" s="1073"/>
      <c r="H1484" s="1073" t="s">
        <v>127</v>
      </c>
      <c r="I1484" s="1090" t="s">
        <v>34</v>
      </c>
      <c r="J1484" s="1097" t="s">
        <v>1725</v>
      </c>
      <c r="K1484" s="1108"/>
      <c r="L1484" s="1138" t="s">
        <v>125</v>
      </c>
      <c r="M1484" s="1138"/>
      <c r="N1484" s="1138"/>
      <c r="O1484" s="1138" t="s">
        <v>125</v>
      </c>
      <c r="P1484" s="1152" t="s">
        <v>125</v>
      </c>
      <c r="Q1484" s="1152" t="s">
        <v>125</v>
      </c>
      <c r="R1484" s="1178">
        <v>178232</v>
      </c>
      <c r="S1484" s="1198" t="s">
        <v>125</v>
      </c>
      <c r="T1484" s="1119" t="s">
        <v>54</v>
      </c>
      <c r="U1484" s="1119"/>
      <c r="V1484" s="1119"/>
      <c r="W1484" s="1090" t="s">
        <v>125</v>
      </c>
      <c r="X1484" s="1222"/>
      <c r="Y1484" s="1222"/>
      <c r="Z1484" s="1222"/>
      <c r="AA1484" s="1222"/>
      <c r="AB1484" s="1222"/>
      <c r="AC1484" s="1222"/>
      <c r="AD1484" s="1222"/>
      <c r="AE1484" s="1222"/>
    </row>
    <row r="1485" spans="1:31" ht="52.8">
      <c r="A1485" s="1062"/>
      <c r="B1485" s="991" t="s">
        <v>48</v>
      </c>
      <c r="C1485" s="1074"/>
      <c r="D1485" s="1073" t="s">
        <v>60</v>
      </c>
      <c r="E1485" s="1073"/>
      <c r="F1485" s="1073"/>
      <c r="G1485" s="1073"/>
      <c r="H1485" s="1073" t="s">
        <v>127</v>
      </c>
      <c r="I1485" s="1090" t="s">
        <v>34</v>
      </c>
      <c r="J1485" s="1097" t="s">
        <v>1726</v>
      </c>
      <c r="K1485" s="1108"/>
      <c r="L1485" s="1138" t="s">
        <v>125</v>
      </c>
      <c r="M1485" s="1138"/>
      <c r="N1485" s="1138"/>
      <c r="O1485" s="1138" t="s">
        <v>125</v>
      </c>
      <c r="P1485" s="1152" t="s">
        <v>125</v>
      </c>
      <c r="Q1485" s="1152" t="s">
        <v>125</v>
      </c>
      <c r="R1485" s="1178">
        <v>124996</v>
      </c>
      <c r="S1485" s="1198" t="s">
        <v>125</v>
      </c>
      <c r="T1485" s="1119" t="s">
        <v>54</v>
      </c>
      <c r="U1485" s="1119"/>
      <c r="V1485" s="1119"/>
      <c r="W1485" s="1090" t="s">
        <v>125</v>
      </c>
      <c r="X1485" s="1222"/>
      <c r="Y1485" s="1222"/>
      <c r="Z1485" s="1222"/>
      <c r="AA1485" s="1222"/>
      <c r="AB1485" s="1222"/>
      <c r="AC1485" s="1222"/>
      <c r="AD1485" s="1222"/>
      <c r="AE1485" s="1222"/>
    </row>
    <row r="1486" spans="1:31" ht="52.8">
      <c r="A1486" s="1062"/>
      <c r="B1486" s="991" t="s">
        <v>48</v>
      </c>
      <c r="C1486" s="1074"/>
      <c r="D1486" s="1073" t="s">
        <v>60</v>
      </c>
      <c r="E1486" s="1073"/>
      <c r="F1486" s="1073"/>
      <c r="G1486" s="1073"/>
      <c r="H1486" s="1073" t="s">
        <v>127</v>
      </c>
      <c r="I1486" s="1090" t="s">
        <v>34</v>
      </c>
      <c r="J1486" s="1097" t="s">
        <v>1727</v>
      </c>
      <c r="K1486" s="1108"/>
      <c r="L1486" s="1138" t="s">
        <v>125</v>
      </c>
      <c r="M1486" s="1138"/>
      <c r="N1486" s="1138"/>
      <c r="O1486" s="1138" t="s">
        <v>35</v>
      </c>
      <c r="P1486" s="1152" t="s">
        <v>35</v>
      </c>
      <c r="Q1486" s="1152" t="s">
        <v>35</v>
      </c>
      <c r="R1486" s="1178">
        <v>110716</v>
      </c>
      <c r="S1486" s="1198" t="s">
        <v>125</v>
      </c>
      <c r="T1486" s="1119" t="s">
        <v>54</v>
      </c>
      <c r="U1486" s="1119"/>
      <c r="V1486" s="1119"/>
      <c r="W1486" s="1090" t="s">
        <v>125</v>
      </c>
      <c r="X1486" s="1222"/>
      <c r="Y1486" s="1222"/>
      <c r="Z1486" s="1222"/>
      <c r="AA1486" s="1222"/>
      <c r="AB1486" s="1222"/>
      <c r="AC1486" s="1222"/>
      <c r="AD1486" s="1222"/>
      <c r="AE1486" s="1222"/>
    </row>
    <row r="1487" spans="1:31" ht="52.8">
      <c r="A1487" s="1062"/>
      <c r="B1487" s="991" t="s">
        <v>48</v>
      </c>
      <c r="C1487" s="1074"/>
      <c r="D1487" s="1073" t="s">
        <v>60</v>
      </c>
      <c r="E1487" s="1073"/>
      <c r="F1487" s="1073"/>
      <c r="G1487" s="1073"/>
      <c r="H1487" s="1073" t="s">
        <v>127</v>
      </c>
      <c r="I1487" s="1090" t="s">
        <v>34</v>
      </c>
      <c r="J1487" s="1097" t="s">
        <v>1728</v>
      </c>
      <c r="K1487" s="1108"/>
      <c r="L1487" s="1138" t="s">
        <v>125</v>
      </c>
      <c r="M1487" s="1138"/>
      <c r="N1487" s="1138"/>
      <c r="O1487" s="1138" t="s">
        <v>125</v>
      </c>
      <c r="P1487" s="1152" t="s">
        <v>125</v>
      </c>
      <c r="Q1487" s="1152" t="s">
        <v>125</v>
      </c>
      <c r="R1487" s="1178">
        <v>270000</v>
      </c>
      <c r="S1487" s="1198" t="s">
        <v>1663</v>
      </c>
      <c r="T1487" s="1119" t="s">
        <v>54</v>
      </c>
      <c r="U1487" s="1119"/>
      <c r="V1487" s="1119"/>
      <c r="W1487" s="1090" t="s">
        <v>1478</v>
      </c>
      <c r="X1487" s="1222"/>
      <c r="Y1487" s="1222"/>
      <c r="Z1487" s="1222"/>
      <c r="AA1487" s="1222"/>
      <c r="AB1487" s="1222"/>
      <c r="AC1487" s="1222"/>
      <c r="AD1487" s="1222"/>
      <c r="AE1487" s="1222"/>
    </row>
    <row r="1488" spans="1:31" ht="39.6">
      <c r="A1488" s="1062"/>
      <c r="B1488" s="991" t="s">
        <v>48</v>
      </c>
      <c r="C1488" s="1074"/>
      <c r="D1488" s="1073" t="s">
        <v>29</v>
      </c>
      <c r="E1488" s="1073"/>
      <c r="F1488" s="1073"/>
      <c r="G1488" s="1073"/>
      <c r="H1488" s="1073" t="s">
        <v>49</v>
      </c>
      <c r="I1488" s="1090" t="s">
        <v>34</v>
      </c>
      <c r="J1488" s="1269" t="s">
        <v>1733</v>
      </c>
      <c r="K1488" s="1109"/>
      <c r="L1488" s="1281" t="s">
        <v>125</v>
      </c>
      <c r="M1488" s="1281"/>
      <c r="N1488" s="1281"/>
      <c r="O1488" s="1119" t="s">
        <v>125</v>
      </c>
      <c r="P1488" s="1152" t="s">
        <v>125</v>
      </c>
      <c r="Q1488" s="1152" t="s">
        <v>125</v>
      </c>
      <c r="R1488" s="1297" t="s">
        <v>125</v>
      </c>
      <c r="S1488" s="1198" t="s">
        <v>125</v>
      </c>
      <c r="T1488" s="1119" t="s">
        <v>54</v>
      </c>
      <c r="U1488" s="1119"/>
      <c r="V1488" s="1119"/>
      <c r="W1488" s="1090" t="s">
        <v>1734</v>
      </c>
      <c r="X1488" s="1222"/>
      <c r="Y1488" s="1222"/>
      <c r="Z1488" s="1222"/>
      <c r="AA1488" s="1222"/>
      <c r="AB1488" s="1222"/>
      <c r="AC1488" s="1222"/>
      <c r="AD1488" s="1222"/>
      <c r="AE1488" s="1222"/>
    </row>
    <row r="1489" spans="1:31" ht="39.6">
      <c r="A1489" s="1062"/>
      <c r="B1489" s="991" t="s">
        <v>48</v>
      </c>
      <c r="C1489" s="1080"/>
      <c r="D1489" s="1073" t="s">
        <v>29</v>
      </c>
      <c r="E1489" s="1073"/>
      <c r="F1489" s="1073"/>
      <c r="G1489" s="1073"/>
      <c r="H1489" s="1073" t="s">
        <v>49</v>
      </c>
      <c r="I1489" s="1090" t="s">
        <v>34</v>
      </c>
      <c r="J1489" s="1096" t="s">
        <v>1742</v>
      </c>
      <c r="K1489" s="1107"/>
      <c r="L1489" s="1129">
        <v>43556</v>
      </c>
      <c r="M1489" s="1129"/>
      <c r="N1489" s="1129"/>
      <c r="O1489" s="1138" t="s">
        <v>35</v>
      </c>
      <c r="P1489" s="1152" t="s">
        <v>125</v>
      </c>
      <c r="Q1489" s="1152" t="s">
        <v>125</v>
      </c>
      <c r="R1489" s="1178">
        <f>SUM(AVERAGE(10,15)*AVERAGE(80,160))*12</f>
        <v>18000</v>
      </c>
      <c r="S1489" s="1198" t="s">
        <v>125</v>
      </c>
      <c r="T1489" s="1119" t="s">
        <v>54</v>
      </c>
      <c r="U1489" s="1119"/>
      <c r="V1489" s="1119"/>
      <c r="W1489" s="1073" t="s">
        <v>886</v>
      </c>
      <c r="X1489" s="1222"/>
      <c r="Y1489" s="1222"/>
      <c r="Z1489" s="1222"/>
      <c r="AA1489" s="1222"/>
      <c r="AB1489" s="1222"/>
      <c r="AC1489" s="1222"/>
      <c r="AD1489" s="1222"/>
      <c r="AE1489" s="1222"/>
    </row>
    <row r="1490" spans="1:31" ht="52.8">
      <c r="A1490" s="1062"/>
      <c r="B1490" s="991" t="s">
        <v>48</v>
      </c>
      <c r="C1490" s="1074"/>
      <c r="D1490" s="1073" t="s">
        <v>60</v>
      </c>
      <c r="E1490" s="1073"/>
      <c r="F1490" s="1073"/>
      <c r="G1490" s="1073"/>
      <c r="H1490" s="1073" t="s">
        <v>127</v>
      </c>
      <c r="I1490" s="1090" t="s">
        <v>34</v>
      </c>
      <c r="J1490" s="1097" t="s">
        <v>1754</v>
      </c>
      <c r="K1490" s="1108"/>
      <c r="L1490" s="1138" t="s">
        <v>35</v>
      </c>
      <c r="M1490" s="1138"/>
      <c r="N1490" s="1138"/>
      <c r="O1490" s="1138" t="s">
        <v>35</v>
      </c>
      <c r="P1490" s="1152" t="s">
        <v>125</v>
      </c>
      <c r="Q1490" s="1152" t="s">
        <v>35</v>
      </c>
      <c r="R1490" s="1292">
        <v>3000</v>
      </c>
      <c r="S1490" s="1198" t="s">
        <v>163</v>
      </c>
      <c r="T1490" s="1119" t="s">
        <v>54</v>
      </c>
      <c r="U1490" s="1119"/>
      <c r="V1490" s="1119"/>
      <c r="W1490" s="1090" t="s">
        <v>1381</v>
      </c>
      <c r="X1490" s="1222"/>
      <c r="Y1490" s="1222"/>
      <c r="Z1490" s="1222"/>
      <c r="AA1490" s="1222"/>
      <c r="AB1490" s="1222"/>
      <c r="AC1490" s="1222"/>
      <c r="AD1490" s="1222"/>
      <c r="AE1490" s="1222"/>
    </row>
    <row r="1491" spans="1:31" ht="52.8">
      <c r="A1491" s="1062"/>
      <c r="B1491" s="991" t="s">
        <v>48</v>
      </c>
      <c r="C1491" s="1074"/>
      <c r="D1491" s="1073" t="s">
        <v>60</v>
      </c>
      <c r="E1491" s="1073"/>
      <c r="F1491" s="1073"/>
      <c r="G1491" s="1073"/>
      <c r="H1491" s="1073" t="s">
        <v>127</v>
      </c>
      <c r="I1491" s="1090" t="s">
        <v>34</v>
      </c>
      <c r="J1491" s="1097" t="s">
        <v>1755</v>
      </c>
      <c r="K1491" s="1108"/>
      <c r="L1491" s="1138" t="s">
        <v>35</v>
      </c>
      <c r="M1491" s="1138"/>
      <c r="N1491" s="1138"/>
      <c r="O1491" s="1138" t="s">
        <v>35</v>
      </c>
      <c r="P1491" s="1152" t="s">
        <v>125</v>
      </c>
      <c r="Q1491" s="1152" t="s">
        <v>35</v>
      </c>
      <c r="R1491" s="1292">
        <v>5000</v>
      </c>
      <c r="S1491" s="1198" t="s">
        <v>163</v>
      </c>
      <c r="T1491" s="1119" t="s">
        <v>54</v>
      </c>
      <c r="U1491" s="1119"/>
      <c r="V1491" s="1119"/>
      <c r="W1491" s="1090" t="s">
        <v>1381</v>
      </c>
      <c r="X1491" s="1222"/>
      <c r="Y1491" s="1222"/>
      <c r="Z1491" s="1222"/>
      <c r="AA1491" s="1222"/>
      <c r="AB1491" s="1222"/>
      <c r="AC1491" s="1222"/>
      <c r="AD1491" s="1222"/>
      <c r="AE1491" s="1222"/>
    </row>
    <row r="1492" spans="1:31" ht="52.8">
      <c r="A1492" s="1062"/>
      <c r="B1492" s="991" t="s">
        <v>48</v>
      </c>
      <c r="C1492" s="1074" t="s">
        <v>1630</v>
      </c>
      <c r="D1492" s="1073" t="s">
        <v>60</v>
      </c>
      <c r="E1492" s="1073"/>
      <c r="F1492" s="1073"/>
      <c r="G1492" s="1073"/>
      <c r="H1492" s="1073" t="s">
        <v>127</v>
      </c>
      <c r="I1492" s="1074" t="s">
        <v>34</v>
      </c>
      <c r="J1492" s="1098" t="s">
        <v>1756</v>
      </c>
      <c r="K1492" s="1110"/>
      <c r="L1492" s="1143" t="s">
        <v>125</v>
      </c>
      <c r="M1492" s="1143"/>
      <c r="N1492" s="1143"/>
      <c r="O1492" s="1206" t="s">
        <v>125</v>
      </c>
      <c r="P1492" s="1155" t="s">
        <v>125</v>
      </c>
      <c r="Q1492" s="1155" t="s">
        <v>125</v>
      </c>
      <c r="R1492" s="1178" t="s">
        <v>125</v>
      </c>
      <c r="S1492" s="1110" t="s">
        <v>125</v>
      </c>
      <c r="T1492" s="1206"/>
      <c r="U1492" s="1206"/>
      <c r="V1492" s="1206"/>
      <c r="W1492" s="1074" t="s">
        <v>1757</v>
      </c>
      <c r="X1492" s="1222"/>
      <c r="Y1492" s="1222"/>
      <c r="Z1492" s="1222"/>
      <c r="AA1492" s="1222"/>
      <c r="AB1492" s="1222"/>
      <c r="AC1492" s="1222"/>
      <c r="AD1492" s="1222"/>
      <c r="AE1492" s="1222"/>
    </row>
    <row r="1493" spans="1:31" ht="52.8">
      <c r="A1493" s="1062"/>
      <c r="B1493" s="991" t="s">
        <v>48</v>
      </c>
      <c r="C1493" s="1074" t="s">
        <v>1743</v>
      </c>
      <c r="D1493" s="1073" t="s">
        <v>60</v>
      </c>
      <c r="E1493" s="1073"/>
      <c r="F1493" s="1073"/>
      <c r="G1493" s="1073"/>
      <c r="H1493" s="1073" t="s">
        <v>127</v>
      </c>
      <c r="I1493" s="1090" t="s">
        <v>34</v>
      </c>
      <c r="J1493" s="1097" t="s">
        <v>1758</v>
      </c>
      <c r="K1493" s="1108"/>
      <c r="L1493" s="1138" t="s">
        <v>125</v>
      </c>
      <c r="M1493" s="1138"/>
      <c r="N1493" s="1138"/>
      <c r="O1493" s="1138" t="s">
        <v>125</v>
      </c>
      <c r="P1493" s="1152">
        <v>1</v>
      </c>
      <c r="Q1493" s="1152">
        <v>1</v>
      </c>
      <c r="R1493" s="1178">
        <v>142805</v>
      </c>
      <c r="S1493" s="1198" t="s">
        <v>1663</v>
      </c>
      <c r="T1493" s="1119" t="s">
        <v>54</v>
      </c>
      <c r="U1493" s="1119"/>
      <c r="V1493" s="1119"/>
      <c r="W1493" s="1090" t="s">
        <v>125</v>
      </c>
      <c r="X1493" s="1222"/>
      <c r="Y1493" s="1222"/>
      <c r="Z1493" s="1222"/>
      <c r="AA1493" s="1222"/>
      <c r="AB1493" s="1222"/>
      <c r="AC1493" s="1222"/>
      <c r="AD1493" s="1222"/>
      <c r="AE1493" s="1222"/>
    </row>
    <row r="1494" spans="1:31" ht="39.6">
      <c r="A1494" s="1062"/>
      <c r="B1494" s="991" t="s">
        <v>48</v>
      </c>
      <c r="C1494" s="1074" t="s">
        <v>1786</v>
      </c>
      <c r="D1494" s="1073" t="s">
        <v>29</v>
      </c>
      <c r="E1494" s="1073"/>
      <c r="F1494" s="1073"/>
      <c r="G1494" s="1073"/>
      <c r="H1494" s="1073" t="s">
        <v>49</v>
      </c>
      <c r="I1494" s="1090" t="s">
        <v>34</v>
      </c>
      <c r="J1494" s="1097" t="s">
        <v>1787</v>
      </c>
      <c r="K1494" s="1108"/>
      <c r="L1494" s="1120" t="s">
        <v>125</v>
      </c>
      <c r="M1494" s="1120"/>
      <c r="N1494" s="1120"/>
      <c r="O1494" s="1120" t="s">
        <v>125</v>
      </c>
      <c r="P1494" s="1152">
        <v>1</v>
      </c>
      <c r="Q1494" s="1152">
        <v>1</v>
      </c>
      <c r="R1494" s="1178" t="s">
        <v>125</v>
      </c>
      <c r="S1494" s="1198" t="s">
        <v>125</v>
      </c>
      <c r="T1494" s="1119" t="s">
        <v>54</v>
      </c>
      <c r="U1494" s="1119"/>
      <c r="V1494" s="1119"/>
      <c r="W1494" s="1090" t="s">
        <v>1717</v>
      </c>
      <c r="X1494" s="1222"/>
      <c r="Y1494" s="1222"/>
      <c r="Z1494" s="1222"/>
      <c r="AA1494" s="1222"/>
      <c r="AB1494" s="1222"/>
      <c r="AC1494" s="1222"/>
      <c r="AD1494" s="1222"/>
      <c r="AE1494" s="1222"/>
    </row>
    <row r="1495" spans="1:31" ht="39.6">
      <c r="A1495" s="1062"/>
      <c r="B1495" s="991" t="s">
        <v>48</v>
      </c>
      <c r="C1495" s="1074" t="s">
        <v>188</v>
      </c>
      <c r="D1495" s="1073" t="s">
        <v>29</v>
      </c>
      <c r="E1495" s="1073"/>
      <c r="F1495" s="1073"/>
      <c r="G1495" s="1073"/>
      <c r="H1495" s="1073" t="s">
        <v>49</v>
      </c>
      <c r="I1495" s="1090" t="s">
        <v>34</v>
      </c>
      <c r="J1495" s="1097" t="s">
        <v>1794</v>
      </c>
      <c r="K1495" s="1108"/>
      <c r="L1495" s="1120" t="s">
        <v>125</v>
      </c>
      <c r="M1495" s="1120"/>
      <c r="N1495" s="1120"/>
      <c r="O1495" s="1120" t="s">
        <v>125</v>
      </c>
      <c r="P1495" s="1152" t="s">
        <v>125</v>
      </c>
      <c r="Q1495" s="1152" t="s">
        <v>125</v>
      </c>
      <c r="R1495" s="1178" t="s">
        <v>125</v>
      </c>
      <c r="S1495" s="1198" t="s">
        <v>125</v>
      </c>
      <c r="T1495" s="1119" t="s">
        <v>54</v>
      </c>
      <c r="U1495" s="1119"/>
      <c r="V1495" s="1119"/>
      <c r="W1495" s="1090" t="s">
        <v>1793</v>
      </c>
      <c r="X1495" s="1222"/>
      <c r="Y1495" s="1222"/>
      <c r="Z1495" s="1222"/>
      <c r="AA1495" s="1222"/>
      <c r="AB1495" s="1222"/>
      <c r="AC1495" s="1222"/>
      <c r="AD1495" s="1222"/>
      <c r="AE1495" s="1222"/>
    </row>
    <row r="1496" spans="1:31" ht="39.6">
      <c r="A1496" s="1062"/>
      <c r="B1496" s="991" t="s">
        <v>48</v>
      </c>
      <c r="C1496" s="1074" t="s">
        <v>188</v>
      </c>
      <c r="D1496" s="1073" t="s">
        <v>29</v>
      </c>
      <c r="E1496" s="1073"/>
      <c r="F1496" s="1073"/>
      <c r="G1496" s="1073"/>
      <c r="H1496" s="1073" t="s">
        <v>49</v>
      </c>
      <c r="I1496" s="1090" t="s">
        <v>34</v>
      </c>
      <c r="J1496" s="1097" t="s">
        <v>1795</v>
      </c>
      <c r="K1496" s="1108"/>
      <c r="L1496" s="1120" t="s">
        <v>125</v>
      </c>
      <c r="M1496" s="1120"/>
      <c r="N1496" s="1120"/>
      <c r="O1496" s="1120" t="s">
        <v>125</v>
      </c>
      <c r="P1496" s="1152" t="s">
        <v>125</v>
      </c>
      <c r="Q1496" s="1152" t="s">
        <v>125</v>
      </c>
      <c r="R1496" s="1178">
        <v>43000</v>
      </c>
      <c r="S1496" s="1198" t="s">
        <v>125</v>
      </c>
      <c r="T1496" s="1119" t="s">
        <v>125</v>
      </c>
      <c r="U1496" s="1119"/>
      <c r="V1496" s="1119"/>
      <c r="W1496" s="1090" t="s">
        <v>406</v>
      </c>
      <c r="X1496" s="1222"/>
      <c r="Y1496" s="1222"/>
      <c r="Z1496" s="1222"/>
      <c r="AA1496" s="1222"/>
      <c r="AB1496" s="1222"/>
      <c r="AC1496" s="1222"/>
      <c r="AD1496" s="1222"/>
      <c r="AE1496" s="1222"/>
    </row>
    <row r="1497" spans="1:31" ht="39.6">
      <c r="A1497" s="1062"/>
      <c r="B1497" s="991" t="s">
        <v>48</v>
      </c>
      <c r="C1497" s="1074" t="s">
        <v>1800</v>
      </c>
      <c r="D1497" s="1073" t="s">
        <v>29</v>
      </c>
      <c r="E1497" s="1073"/>
      <c r="F1497" s="1073"/>
      <c r="G1497" s="1073"/>
      <c r="H1497" s="1073" t="s">
        <v>49</v>
      </c>
      <c r="I1497" s="1090" t="s">
        <v>34</v>
      </c>
      <c r="J1497" s="1097" t="s">
        <v>1801</v>
      </c>
      <c r="K1497" s="1108"/>
      <c r="L1497" s="1120" t="s">
        <v>125</v>
      </c>
      <c r="M1497" s="1120"/>
      <c r="N1497" s="1120"/>
      <c r="O1497" s="1120" t="s">
        <v>125</v>
      </c>
      <c r="P1497" s="1152" t="s">
        <v>125</v>
      </c>
      <c r="Q1497" s="1152" t="s">
        <v>35</v>
      </c>
      <c r="R1497" s="1178">
        <v>142000</v>
      </c>
      <c r="S1497" s="1198" t="s">
        <v>125</v>
      </c>
      <c r="T1497" s="1119" t="s">
        <v>54</v>
      </c>
      <c r="U1497" s="1119"/>
      <c r="V1497" s="1119"/>
      <c r="W1497" s="1090" t="s">
        <v>1802</v>
      </c>
      <c r="X1497" s="1222"/>
      <c r="Y1497" s="1222"/>
      <c r="Z1497" s="1222"/>
      <c r="AA1497" s="1222"/>
      <c r="AB1497" s="1222"/>
      <c r="AC1497" s="1222"/>
      <c r="AD1497" s="1222"/>
      <c r="AE1497" s="1222"/>
    </row>
    <row r="1498" spans="1:31" ht="52.8">
      <c r="A1498" s="1062"/>
      <c r="B1498" s="991" t="s">
        <v>48</v>
      </c>
      <c r="C1498" s="1074" t="s">
        <v>188</v>
      </c>
      <c r="D1498" s="1073" t="s">
        <v>60</v>
      </c>
      <c r="E1498" s="1073"/>
      <c r="F1498" s="1073"/>
      <c r="G1498" s="1073"/>
      <c r="H1498" s="1073" t="s">
        <v>127</v>
      </c>
      <c r="I1498" s="1074" t="s">
        <v>34</v>
      </c>
      <c r="J1498" s="1098" t="s">
        <v>1470</v>
      </c>
      <c r="K1498" s="1110"/>
      <c r="L1498" s="1122">
        <v>43525</v>
      </c>
      <c r="M1498" s="1122"/>
      <c r="N1498" s="1122"/>
      <c r="O1498" s="1122" t="s">
        <v>35</v>
      </c>
      <c r="P1498" s="1155" t="s">
        <v>125</v>
      </c>
      <c r="Q1498" s="1155" t="s">
        <v>125</v>
      </c>
      <c r="R1498" s="1178">
        <v>350000</v>
      </c>
      <c r="S1498" s="1110" t="s">
        <v>53</v>
      </c>
      <c r="T1498" s="1206" t="s">
        <v>54</v>
      </c>
      <c r="U1498" s="1206"/>
      <c r="V1498" s="1206"/>
      <c r="W1498" s="1074" t="s">
        <v>1413</v>
      </c>
      <c r="X1498" s="1222"/>
      <c r="Y1498" s="1222"/>
      <c r="Z1498" s="1222"/>
      <c r="AA1498" s="1222"/>
      <c r="AB1498" s="1222"/>
      <c r="AC1498" s="1222"/>
      <c r="AD1498" s="1222"/>
      <c r="AE1498" s="1222"/>
    </row>
    <row r="1499" spans="1:31" ht="52.8">
      <c r="A1499" s="1062"/>
      <c r="B1499" s="991" t="s">
        <v>48</v>
      </c>
      <c r="C1499" s="1074" t="s">
        <v>188</v>
      </c>
      <c r="D1499" s="1073" t="s">
        <v>60</v>
      </c>
      <c r="E1499" s="1073"/>
      <c r="F1499" s="1073"/>
      <c r="G1499" s="1073"/>
      <c r="H1499" s="1073" t="s">
        <v>127</v>
      </c>
      <c r="I1499" s="1090" t="s">
        <v>34</v>
      </c>
      <c r="J1499" s="1097" t="s">
        <v>1813</v>
      </c>
      <c r="K1499" s="1108"/>
      <c r="L1499" s="1120">
        <v>43649</v>
      </c>
      <c r="M1499" s="1120"/>
      <c r="N1499" s="1120"/>
      <c r="O1499" s="1120" t="s">
        <v>125</v>
      </c>
      <c r="P1499" s="1152" t="s">
        <v>125</v>
      </c>
      <c r="Q1499" s="1152" t="s">
        <v>125</v>
      </c>
      <c r="R1499" s="1178">
        <v>10000</v>
      </c>
      <c r="S1499" s="1198" t="s">
        <v>1144</v>
      </c>
      <c r="T1499" s="1119" t="s">
        <v>54</v>
      </c>
      <c r="U1499" s="1119"/>
      <c r="V1499" s="1119"/>
      <c r="W1499" s="1090" t="s">
        <v>1487</v>
      </c>
      <c r="X1499" s="1222"/>
      <c r="Y1499" s="1222"/>
      <c r="Z1499" s="1222"/>
      <c r="AA1499" s="1222"/>
      <c r="AB1499" s="1222"/>
      <c r="AC1499" s="1222"/>
      <c r="AD1499" s="1222"/>
      <c r="AE1499" s="1222"/>
    </row>
    <row r="1500" spans="1:31" ht="39.6">
      <c r="A1500" s="1062"/>
      <c r="B1500" s="991" t="s">
        <v>48</v>
      </c>
      <c r="C1500" s="1074" t="s">
        <v>188</v>
      </c>
      <c r="D1500" s="1073" t="s">
        <v>29</v>
      </c>
      <c r="E1500" s="1073"/>
      <c r="F1500" s="1073"/>
      <c r="G1500" s="1073"/>
      <c r="H1500" s="1073" t="s">
        <v>49</v>
      </c>
      <c r="I1500" s="1090" t="s">
        <v>34</v>
      </c>
      <c r="J1500" s="1097" t="s">
        <v>1814</v>
      </c>
      <c r="K1500" s="1108"/>
      <c r="L1500" s="1120" t="s">
        <v>125</v>
      </c>
      <c r="M1500" s="1120"/>
      <c r="N1500" s="1120"/>
      <c r="O1500" s="1120" t="s">
        <v>125</v>
      </c>
      <c r="P1500" s="1152" t="s">
        <v>125</v>
      </c>
      <c r="Q1500" s="1152" t="s">
        <v>125</v>
      </c>
      <c r="R1500" s="1178">
        <v>10000000</v>
      </c>
      <c r="S1500" s="1198" t="s">
        <v>125</v>
      </c>
      <c r="T1500" s="1119" t="s">
        <v>54</v>
      </c>
      <c r="U1500" s="1119"/>
      <c r="V1500" s="1119"/>
      <c r="W1500" s="1090" t="s">
        <v>406</v>
      </c>
      <c r="X1500" s="1222"/>
      <c r="Y1500" s="1222"/>
      <c r="Z1500" s="1222"/>
      <c r="AA1500" s="1222"/>
      <c r="AB1500" s="1222"/>
      <c r="AC1500" s="1222"/>
      <c r="AD1500" s="1222"/>
      <c r="AE1500" s="1222"/>
    </row>
    <row r="1501" spans="1:31" ht="39.6">
      <c r="A1501" s="1062"/>
      <c r="B1501" s="991" t="s">
        <v>48</v>
      </c>
      <c r="C1501" s="1074" t="s">
        <v>188</v>
      </c>
      <c r="D1501" s="1073" t="s">
        <v>29</v>
      </c>
      <c r="E1501" s="1073"/>
      <c r="F1501" s="1073"/>
      <c r="G1501" s="1073"/>
      <c r="H1501" s="1073" t="s">
        <v>49</v>
      </c>
      <c r="I1501" s="1090" t="s">
        <v>34</v>
      </c>
      <c r="J1501" s="1097" t="s">
        <v>1815</v>
      </c>
      <c r="K1501" s="1108"/>
      <c r="L1501" s="1120" t="s">
        <v>125</v>
      </c>
      <c r="M1501" s="1120"/>
      <c r="N1501" s="1120"/>
      <c r="O1501" s="1120" t="s">
        <v>125</v>
      </c>
      <c r="P1501" s="1152" t="s">
        <v>125</v>
      </c>
      <c r="Q1501" s="1152" t="s">
        <v>125</v>
      </c>
      <c r="R1501" s="1178">
        <v>79000</v>
      </c>
      <c r="S1501" s="1198" t="s">
        <v>125</v>
      </c>
      <c r="T1501" s="1119" t="s">
        <v>125</v>
      </c>
      <c r="U1501" s="1119"/>
      <c r="V1501" s="1119"/>
      <c r="W1501" s="1090" t="s">
        <v>406</v>
      </c>
      <c r="X1501" s="1222"/>
      <c r="Y1501" s="1222"/>
      <c r="Z1501" s="1222"/>
      <c r="AA1501" s="1222"/>
      <c r="AB1501" s="1222"/>
      <c r="AC1501" s="1222"/>
      <c r="AD1501" s="1222"/>
      <c r="AE1501" s="1222"/>
    </row>
    <row r="1502" spans="1:31" ht="52.8">
      <c r="A1502" s="1062"/>
      <c r="B1502" s="991" t="s">
        <v>48</v>
      </c>
      <c r="C1502" s="1074" t="s">
        <v>188</v>
      </c>
      <c r="D1502" s="1073" t="s">
        <v>60</v>
      </c>
      <c r="E1502" s="1073"/>
      <c r="F1502" s="1073"/>
      <c r="G1502" s="1073"/>
      <c r="H1502" s="1073" t="s">
        <v>127</v>
      </c>
      <c r="I1502" s="1074" t="s">
        <v>34</v>
      </c>
      <c r="J1502" s="1098" t="s">
        <v>1816</v>
      </c>
      <c r="K1502" s="1110"/>
      <c r="L1502" s="1122" t="s">
        <v>35</v>
      </c>
      <c r="M1502" s="1122"/>
      <c r="N1502" s="1122"/>
      <c r="O1502" s="1122" t="s">
        <v>35</v>
      </c>
      <c r="P1502" s="1155" t="s">
        <v>125</v>
      </c>
      <c r="Q1502" s="1155" t="s">
        <v>125</v>
      </c>
      <c r="R1502" s="1178">
        <v>7000</v>
      </c>
      <c r="S1502" s="1110" t="s">
        <v>909</v>
      </c>
      <c r="T1502" s="1206" t="s">
        <v>54</v>
      </c>
      <c r="U1502" s="1206"/>
      <c r="V1502" s="1206"/>
      <c r="W1502" s="1074" t="s">
        <v>1413</v>
      </c>
      <c r="X1502" s="1222"/>
      <c r="Y1502" s="1222"/>
      <c r="Z1502" s="1222"/>
      <c r="AA1502" s="1222"/>
      <c r="AB1502" s="1222"/>
      <c r="AC1502" s="1222"/>
      <c r="AD1502" s="1222"/>
      <c r="AE1502" s="1222"/>
    </row>
    <row r="1503" spans="1:31" ht="39.6">
      <c r="A1503" s="1062"/>
      <c r="B1503" s="991" t="s">
        <v>48</v>
      </c>
      <c r="C1503" s="1074" t="s">
        <v>188</v>
      </c>
      <c r="D1503" s="1073" t="s">
        <v>29</v>
      </c>
      <c r="E1503" s="1073"/>
      <c r="F1503" s="1073"/>
      <c r="G1503" s="1073"/>
      <c r="H1503" s="1073" t="s">
        <v>49</v>
      </c>
      <c r="I1503" s="1090" t="s">
        <v>34</v>
      </c>
      <c r="J1503" s="1097" t="s">
        <v>1818</v>
      </c>
      <c r="K1503" s="1108"/>
      <c r="L1503" s="1120" t="s">
        <v>125</v>
      </c>
      <c r="M1503" s="1120"/>
      <c r="N1503" s="1120"/>
      <c r="O1503" s="1120" t="s">
        <v>125</v>
      </c>
      <c r="P1503" s="1152">
        <v>2</v>
      </c>
      <c r="Q1503" s="1152">
        <v>2</v>
      </c>
      <c r="R1503" s="1178" t="s">
        <v>125</v>
      </c>
      <c r="S1503" s="1198" t="s">
        <v>125</v>
      </c>
      <c r="T1503" s="1119" t="s">
        <v>54</v>
      </c>
      <c r="U1503" s="1119"/>
      <c r="V1503" s="1119"/>
      <c r="W1503" s="1090" t="s">
        <v>1793</v>
      </c>
      <c r="X1503" s="1222"/>
      <c r="Y1503" s="1222"/>
      <c r="Z1503" s="1222"/>
      <c r="AA1503" s="1222"/>
      <c r="AB1503" s="1222"/>
      <c r="AC1503" s="1222"/>
      <c r="AD1503" s="1222"/>
      <c r="AE1503" s="1222"/>
    </row>
    <row r="1504" spans="1:31" ht="52.8">
      <c r="A1504" s="1062"/>
      <c r="B1504" s="991" t="s">
        <v>48</v>
      </c>
      <c r="C1504" s="1074" t="s">
        <v>188</v>
      </c>
      <c r="D1504" s="1073" t="s">
        <v>60</v>
      </c>
      <c r="E1504" s="1073"/>
      <c r="F1504" s="1073"/>
      <c r="G1504" s="1073"/>
      <c r="H1504" s="1073" t="s">
        <v>127</v>
      </c>
      <c r="I1504" s="1074" t="s">
        <v>34</v>
      </c>
      <c r="J1504" s="1098" t="s">
        <v>1828</v>
      </c>
      <c r="K1504" s="1110"/>
      <c r="L1504" s="1122">
        <v>43514</v>
      </c>
      <c r="M1504" s="1122"/>
      <c r="N1504" s="1122"/>
      <c r="O1504" s="1122" t="s">
        <v>35</v>
      </c>
      <c r="P1504" s="1155" t="s">
        <v>125</v>
      </c>
      <c r="Q1504" s="1155" t="s">
        <v>125</v>
      </c>
      <c r="R1504" s="1178">
        <v>304500</v>
      </c>
      <c r="S1504" s="1110" t="s">
        <v>1663</v>
      </c>
      <c r="T1504" s="1206" t="s">
        <v>54</v>
      </c>
      <c r="U1504" s="1206"/>
      <c r="V1504" s="1206"/>
      <c r="W1504" s="1074" t="s">
        <v>1829</v>
      </c>
      <c r="X1504" s="1222"/>
      <c r="Y1504" s="1222"/>
      <c r="Z1504" s="1222"/>
      <c r="AA1504" s="1222"/>
      <c r="AB1504" s="1222"/>
      <c r="AC1504" s="1222"/>
      <c r="AD1504" s="1222"/>
      <c r="AE1504" s="1222"/>
    </row>
    <row r="1505" spans="1:31" ht="52.8">
      <c r="A1505" s="1062"/>
      <c r="B1505" s="991" t="s">
        <v>48</v>
      </c>
      <c r="C1505" s="1074" t="s">
        <v>188</v>
      </c>
      <c r="D1505" s="1073" t="s">
        <v>60</v>
      </c>
      <c r="E1505" s="1073"/>
      <c r="F1505" s="1073"/>
      <c r="G1505" s="1073"/>
      <c r="H1505" s="1073" t="s">
        <v>127</v>
      </c>
      <c r="I1505" s="1090" t="s">
        <v>34</v>
      </c>
      <c r="J1505" s="1097" t="s">
        <v>1844</v>
      </c>
      <c r="K1505" s="1108"/>
      <c r="L1505" s="1120" t="s">
        <v>1845</v>
      </c>
      <c r="M1505" s="1120"/>
      <c r="N1505" s="1120"/>
      <c r="O1505" s="1120" t="s">
        <v>125</v>
      </c>
      <c r="P1505" s="1152" t="s">
        <v>125</v>
      </c>
      <c r="Q1505" s="1152" t="s">
        <v>125</v>
      </c>
      <c r="R1505" s="1178" t="s">
        <v>125</v>
      </c>
      <c r="S1505" s="1198" t="s">
        <v>125</v>
      </c>
      <c r="T1505" s="1119" t="s">
        <v>54</v>
      </c>
      <c r="U1505" s="1119"/>
      <c r="V1505" s="1119"/>
      <c r="W1505" s="1090" t="s">
        <v>125</v>
      </c>
      <c r="X1505" s="1222"/>
      <c r="Y1505" s="1222"/>
      <c r="Z1505" s="1222"/>
      <c r="AA1505" s="1222"/>
      <c r="AB1505" s="1222"/>
      <c r="AC1505" s="1222"/>
      <c r="AD1505" s="1222"/>
      <c r="AE1505" s="1222"/>
    </row>
    <row r="1506" spans="1:31" ht="52.8">
      <c r="A1506" s="1062"/>
      <c r="B1506" s="991" t="s">
        <v>48</v>
      </c>
      <c r="C1506" s="1074" t="s">
        <v>188</v>
      </c>
      <c r="D1506" s="1073" t="s">
        <v>60</v>
      </c>
      <c r="E1506" s="1073"/>
      <c r="F1506" s="1073"/>
      <c r="G1506" s="1073"/>
      <c r="H1506" s="1073" t="s">
        <v>127</v>
      </c>
      <c r="I1506" s="1090" t="s">
        <v>34</v>
      </c>
      <c r="J1506" s="1097" t="s">
        <v>1846</v>
      </c>
      <c r="K1506" s="1108"/>
      <c r="L1506" s="1120" t="s">
        <v>1845</v>
      </c>
      <c r="M1506" s="1120"/>
      <c r="N1506" s="1120"/>
      <c r="O1506" s="1120" t="s">
        <v>125</v>
      </c>
      <c r="P1506" s="1152" t="s">
        <v>125</v>
      </c>
      <c r="Q1506" s="1152" t="s">
        <v>125</v>
      </c>
      <c r="R1506" s="1178" t="s">
        <v>125</v>
      </c>
      <c r="S1506" s="1198" t="s">
        <v>125</v>
      </c>
      <c r="T1506" s="1119" t="s">
        <v>54</v>
      </c>
      <c r="U1506" s="1119"/>
      <c r="V1506" s="1119"/>
      <c r="W1506" s="1090" t="s">
        <v>125</v>
      </c>
      <c r="X1506" s="1222"/>
      <c r="Y1506" s="1222"/>
      <c r="Z1506" s="1222"/>
      <c r="AA1506" s="1222"/>
      <c r="AB1506" s="1222"/>
      <c r="AC1506" s="1222"/>
      <c r="AD1506" s="1222"/>
      <c r="AE1506" s="1222"/>
    </row>
    <row r="1507" spans="1:31" ht="52.8">
      <c r="A1507" s="1062"/>
      <c r="B1507" s="991" t="s">
        <v>48</v>
      </c>
      <c r="C1507" s="1074" t="s">
        <v>188</v>
      </c>
      <c r="D1507" s="1073" t="s">
        <v>60</v>
      </c>
      <c r="E1507" s="1073"/>
      <c r="F1507" s="1073"/>
      <c r="G1507" s="1073"/>
      <c r="H1507" s="1073" t="s">
        <v>127</v>
      </c>
      <c r="I1507" s="1090" t="s">
        <v>34</v>
      </c>
      <c r="J1507" s="1097" t="s">
        <v>1849</v>
      </c>
      <c r="K1507" s="1108"/>
      <c r="L1507" s="1120" t="s">
        <v>1845</v>
      </c>
      <c r="M1507" s="1120"/>
      <c r="N1507" s="1120"/>
      <c r="O1507" s="1120" t="s">
        <v>125</v>
      </c>
      <c r="P1507" s="1152" t="s">
        <v>125</v>
      </c>
      <c r="Q1507" s="1152" t="s">
        <v>125</v>
      </c>
      <c r="R1507" s="1178" t="s">
        <v>125</v>
      </c>
      <c r="S1507" s="1198" t="s">
        <v>125</v>
      </c>
      <c r="T1507" s="1119" t="s">
        <v>54</v>
      </c>
      <c r="U1507" s="1119"/>
      <c r="V1507" s="1119"/>
      <c r="W1507" s="1090" t="s">
        <v>125</v>
      </c>
      <c r="X1507" s="1222"/>
      <c r="Y1507" s="1222"/>
      <c r="Z1507" s="1222"/>
      <c r="AA1507" s="1222"/>
      <c r="AB1507" s="1222"/>
      <c r="AC1507" s="1222"/>
      <c r="AD1507" s="1222"/>
      <c r="AE1507" s="1222"/>
    </row>
    <row r="1508" spans="1:31" ht="52.8">
      <c r="A1508" s="1062"/>
      <c r="B1508" s="991" t="s">
        <v>48</v>
      </c>
      <c r="C1508" s="1074" t="s">
        <v>188</v>
      </c>
      <c r="D1508" s="1073" t="s">
        <v>60</v>
      </c>
      <c r="E1508" s="1073"/>
      <c r="F1508" s="1073"/>
      <c r="G1508" s="1073"/>
      <c r="H1508" s="1073" t="s">
        <v>127</v>
      </c>
      <c r="I1508" s="1090" t="s">
        <v>34</v>
      </c>
      <c r="J1508" s="1097" t="s">
        <v>1850</v>
      </c>
      <c r="K1508" s="1108"/>
      <c r="L1508" s="1120" t="s">
        <v>1845</v>
      </c>
      <c r="M1508" s="1120"/>
      <c r="N1508" s="1120"/>
      <c r="O1508" s="1120" t="s">
        <v>125</v>
      </c>
      <c r="P1508" s="1152" t="s">
        <v>125</v>
      </c>
      <c r="Q1508" s="1152" t="s">
        <v>125</v>
      </c>
      <c r="R1508" s="1178" t="s">
        <v>125</v>
      </c>
      <c r="S1508" s="1198" t="s">
        <v>125</v>
      </c>
      <c r="T1508" s="1119" t="s">
        <v>54</v>
      </c>
      <c r="U1508" s="1119"/>
      <c r="V1508" s="1119"/>
      <c r="W1508" s="1090" t="s">
        <v>125</v>
      </c>
      <c r="X1508" s="1222"/>
      <c r="Y1508" s="1222"/>
      <c r="Z1508" s="1222"/>
      <c r="AA1508" s="1222"/>
      <c r="AB1508" s="1222"/>
      <c r="AC1508" s="1222"/>
      <c r="AD1508" s="1222"/>
      <c r="AE1508" s="1222"/>
    </row>
    <row r="1509" spans="1:31" ht="52.8">
      <c r="A1509" s="1062"/>
      <c r="B1509" s="991" t="s">
        <v>48</v>
      </c>
      <c r="C1509" s="1074" t="s">
        <v>1627</v>
      </c>
      <c r="D1509" s="1073" t="s">
        <v>60</v>
      </c>
      <c r="E1509" s="1073"/>
      <c r="F1509" s="1073"/>
      <c r="G1509" s="1073"/>
      <c r="H1509" s="1073" t="s">
        <v>127</v>
      </c>
      <c r="I1509" s="1090" t="s">
        <v>34</v>
      </c>
      <c r="J1509" s="1097" t="s">
        <v>1862</v>
      </c>
      <c r="K1509" s="1108"/>
      <c r="L1509" s="1120" t="s">
        <v>125</v>
      </c>
      <c r="M1509" s="1120"/>
      <c r="N1509" s="1120"/>
      <c r="O1509" s="1120" t="s">
        <v>125</v>
      </c>
      <c r="P1509" s="1152" t="s">
        <v>125</v>
      </c>
      <c r="Q1509" s="1152" t="s">
        <v>35</v>
      </c>
      <c r="R1509" s="1178">
        <v>30000</v>
      </c>
      <c r="S1509" s="1198" t="s">
        <v>125</v>
      </c>
      <c r="T1509" s="1119" t="s">
        <v>54</v>
      </c>
      <c r="U1509" s="1119"/>
      <c r="V1509" s="1119"/>
      <c r="W1509" s="1090" t="s">
        <v>1772</v>
      </c>
      <c r="X1509" s="1222"/>
      <c r="Y1509" s="1222"/>
      <c r="Z1509" s="1222"/>
      <c r="AA1509" s="1222"/>
      <c r="AB1509" s="1222"/>
      <c r="AC1509" s="1222"/>
      <c r="AD1509" s="1222"/>
      <c r="AE1509" s="1222"/>
    </row>
    <row r="1510" spans="1:31" ht="52.8">
      <c r="A1510" s="1062"/>
      <c r="B1510" s="991" t="s">
        <v>48</v>
      </c>
      <c r="C1510" s="1074" t="s">
        <v>43</v>
      </c>
      <c r="D1510" s="1073" t="s">
        <v>60</v>
      </c>
      <c r="E1510" s="1073"/>
      <c r="F1510" s="1073"/>
      <c r="G1510" s="1073"/>
      <c r="H1510" s="1073" t="s">
        <v>127</v>
      </c>
      <c r="I1510" s="1090" t="s">
        <v>34</v>
      </c>
      <c r="J1510" s="1097" t="s">
        <v>1867</v>
      </c>
      <c r="K1510" s="1108"/>
      <c r="L1510" s="1120">
        <v>43556</v>
      </c>
      <c r="M1510" s="1120"/>
      <c r="N1510" s="1120"/>
      <c r="O1510" s="1120" t="s">
        <v>125</v>
      </c>
      <c r="P1510" s="1152" t="s">
        <v>125</v>
      </c>
      <c r="Q1510" s="1152" t="s">
        <v>125</v>
      </c>
      <c r="R1510" s="1178">
        <v>154500</v>
      </c>
      <c r="S1510" s="1119" t="s">
        <v>1663</v>
      </c>
      <c r="T1510" s="1119" t="s">
        <v>54</v>
      </c>
      <c r="U1510" s="1119"/>
      <c r="V1510" s="1119"/>
      <c r="W1510" s="1090" t="s">
        <v>1868</v>
      </c>
      <c r="X1510" s="1222"/>
      <c r="Y1510" s="1222"/>
      <c r="Z1510" s="1222"/>
      <c r="AA1510" s="1222"/>
      <c r="AB1510" s="1222"/>
      <c r="AC1510" s="1222"/>
      <c r="AD1510" s="1222"/>
      <c r="AE1510" s="1222"/>
    </row>
    <row r="1511" spans="1:31" ht="39.6">
      <c r="A1511" s="1062"/>
      <c r="B1511" s="991" t="s">
        <v>48</v>
      </c>
      <c r="C1511" s="1074" t="s">
        <v>43</v>
      </c>
      <c r="D1511" s="1073" t="s">
        <v>60</v>
      </c>
      <c r="E1511" s="1073"/>
      <c r="F1511" s="1073"/>
      <c r="G1511" s="1073"/>
      <c r="H1511" s="1073" t="s">
        <v>49</v>
      </c>
      <c r="I1511" s="1090" t="s">
        <v>34</v>
      </c>
      <c r="J1511" s="1097" t="s">
        <v>1869</v>
      </c>
      <c r="K1511" s="1108"/>
      <c r="L1511" s="1120" t="s">
        <v>125</v>
      </c>
      <c r="M1511" s="1120"/>
      <c r="N1511" s="1120"/>
      <c r="O1511" s="1120" t="s">
        <v>125</v>
      </c>
      <c r="P1511" s="1120" t="s">
        <v>125</v>
      </c>
      <c r="Q1511" s="1120" t="s">
        <v>125</v>
      </c>
      <c r="R1511" s="1178">
        <v>50000</v>
      </c>
      <c r="S1511" s="1198" t="s">
        <v>125</v>
      </c>
      <c r="T1511" s="1119" t="s">
        <v>54</v>
      </c>
      <c r="U1511" s="1119"/>
      <c r="V1511" s="1119"/>
      <c r="W1511" s="1090" t="s">
        <v>1514</v>
      </c>
      <c r="X1511" s="1222"/>
      <c r="Y1511" s="1222"/>
      <c r="Z1511" s="1222"/>
      <c r="AA1511" s="1222"/>
      <c r="AB1511" s="1222"/>
      <c r="AC1511" s="1222"/>
      <c r="AD1511" s="1222"/>
      <c r="AE1511" s="1222"/>
    </row>
    <row r="1512" spans="1:31" ht="39.6">
      <c r="A1512" s="1062"/>
      <c r="B1512" s="991" t="s">
        <v>48</v>
      </c>
      <c r="C1512" s="1074" t="s">
        <v>43</v>
      </c>
      <c r="D1512" s="1073" t="s">
        <v>60</v>
      </c>
      <c r="E1512" s="1073"/>
      <c r="F1512" s="1073"/>
      <c r="G1512" s="1073"/>
      <c r="H1512" s="1073" t="s">
        <v>49</v>
      </c>
      <c r="I1512" s="1090" t="s">
        <v>34</v>
      </c>
      <c r="J1512" s="1097" t="s">
        <v>1870</v>
      </c>
      <c r="K1512" s="1108"/>
      <c r="L1512" s="1120" t="s">
        <v>125</v>
      </c>
      <c r="M1512" s="1120"/>
      <c r="N1512" s="1120"/>
      <c r="O1512" s="1120" t="s">
        <v>125</v>
      </c>
      <c r="P1512" s="1120" t="s">
        <v>125</v>
      </c>
      <c r="Q1512" s="1120" t="s">
        <v>125</v>
      </c>
      <c r="R1512" s="1178">
        <v>15000</v>
      </c>
      <c r="S1512" s="1198" t="s">
        <v>125</v>
      </c>
      <c r="T1512" s="1119" t="s">
        <v>54</v>
      </c>
      <c r="U1512" s="1119"/>
      <c r="V1512" s="1119"/>
      <c r="W1512" s="1090" t="s">
        <v>1514</v>
      </c>
      <c r="X1512" s="1222"/>
      <c r="Y1512" s="1222"/>
      <c r="Z1512" s="1222"/>
      <c r="AA1512" s="1222"/>
      <c r="AB1512" s="1222"/>
      <c r="AC1512" s="1222"/>
      <c r="AD1512" s="1222"/>
      <c r="AE1512" s="1222"/>
    </row>
    <row r="1513" spans="1:31" ht="39.6">
      <c r="A1513" s="1062"/>
      <c r="B1513" s="991" t="s">
        <v>48</v>
      </c>
      <c r="C1513" s="1074" t="s">
        <v>43</v>
      </c>
      <c r="D1513" s="1073" t="s">
        <v>60</v>
      </c>
      <c r="E1513" s="1073"/>
      <c r="F1513" s="1073"/>
      <c r="G1513" s="1073"/>
      <c r="H1513" s="1073" t="s">
        <v>49</v>
      </c>
      <c r="I1513" s="1090" t="s">
        <v>34</v>
      </c>
      <c r="J1513" s="1097" t="s">
        <v>1871</v>
      </c>
      <c r="K1513" s="1108"/>
      <c r="L1513" s="1120" t="s">
        <v>125</v>
      </c>
      <c r="M1513" s="1120"/>
      <c r="N1513" s="1120"/>
      <c r="O1513" s="1120" t="s">
        <v>125</v>
      </c>
      <c r="P1513" s="1120" t="s">
        <v>125</v>
      </c>
      <c r="Q1513" s="1120" t="s">
        <v>125</v>
      </c>
      <c r="R1513" s="1178">
        <v>13000</v>
      </c>
      <c r="S1513" s="1198" t="s">
        <v>125</v>
      </c>
      <c r="T1513" s="1119" t="s">
        <v>54</v>
      </c>
      <c r="U1513" s="1119"/>
      <c r="V1513" s="1119"/>
      <c r="W1513" s="1090" t="s">
        <v>1514</v>
      </c>
      <c r="X1513" s="1222"/>
      <c r="Y1513" s="1222"/>
      <c r="Z1513" s="1222"/>
      <c r="AA1513" s="1222"/>
      <c r="AB1513" s="1222"/>
      <c r="AC1513" s="1222"/>
      <c r="AD1513" s="1222"/>
      <c r="AE1513" s="1222"/>
    </row>
    <row r="1514" spans="1:31" ht="52.8">
      <c r="A1514" s="1062"/>
      <c r="B1514" s="991" t="s">
        <v>48</v>
      </c>
      <c r="C1514" s="1074" t="s">
        <v>188</v>
      </c>
      <c r="D1514" s="1073" t="s">
        <v>60</v>
      </c>
      <c r="E1514" s="1073"/>
      <c r="F1514" s="1073"/>
      <c r="G1514" s="1073"/>
      <c r="H1514" s="1073" t="s">
        <v>127</v>
      </c>
      <c r="I1514" s="1090" t="s">
        <v>34</v>
      </c>
      <c r="J1514" s="1097" t="s">
        <v>1891</v>
      </c>
      <c r="K1514" s="1108"/>
      <c r="L1514" s="1120">
        <v>43507</v>
      </c>
      <c r="M1514" s="1120"/>
      <c r="N1514" s="1120"/>
      <c r="O1514" s="1120" t="s">
        <v>35</v>
      </c>
      <c r="P1514" s="1152">
        <v>1</v>
      </c>
      <c r="Q1514" s="1152">
        <v>1</v>
      </c>
      <c r="R1514" s="1178">
        <v>380515</v>
      </c>
      <c r="S1514" s="1198" t="s">
        <v>1663</v>
      </c>
      <c r="T1514" s="1119" t="s">
        <v>54</v>
      </c>
      <c r="U1514" s="1119"/>
      <c r="V1514" s="1119"/>
      <c r="W1514" s="1090" t="s">
        <v>1722</v>
      </c>
      <c r="X1514" s="1222"/>
      <c r="Y1514" s="1222"/>
      <c r="Z1514" s="1222"/>
      <c r="AA1514" s="1222"/>
      <c r="AB1514" s="1222"/>
      <c r="AC1514" s="1222"/>
      <c r="AD1514" s="1222"/>
      <c r="AE1514" s="1222"/>
    </row>
    <row r="1515" spans="1:31" ht="39.6">
      <c r="A1515" s="1062"/>
      <c r="B1515" s="991" t="s">
        <v>48</v>
      </c>
      <c r="C1515" s="1074" t="s">
        <v>1980</v>
      </c>
      <c r="D1515" s="1073" t="s">
        <v>82</v>
      </c>
      <c r="E1515" s="1073"/>
      <c r="F1515" s="1073"/>
      <c r="G1515" s="1073"/>
      <c r="H1515" s="1073" t="s">
        <v>49</v>
      </c>
      <c r="I1515" s="1090" t="s">
        <v>34</v>
      </c>
      <c r="J1515" s="1097" t="s">
        <v>1981</v>
      </c>
      <c r="K1515" s="1108"/>
      <c r="L1515" s="1120">
        <v>43709</v>
      </c>
      <c r="M1515" s="1120"/>
      <c r="N1515" s="1120"/>
      <c r="O1515" s="1120" t="s">
        <v>125</v>
      </c>
      <c r="P1515" s="1152" t="s">
        <v>125</v>
      </c>
      <c r="Q1515" s="1152" t="s">
        <v>125</v>
      </c>
      <c r="R1515" s="1178">
        <v>146000</v>
      </c>
      <c r="S1515" s="1198" t="s">
        <v>1163</v>
      </c>
      <c r="T1515" s="1119" t="s">
        <v>36</v>
      </c>
      <c r="U1515" s="1119"/>
      <c r="V1515" s="1119"/>
      <c r="W1515" s="1110" t="s">
        <v>1467</v>
      </c>
      <c r="X1515" s="1222"/>
      <c r="Y1515" s="1222"/>
      <c r="Z1515" s="1222"/>
      <c r="AA1515" s="1222"/>
      <c r="AB1515" s="1222"/>
      <c r="AC1515" s="1222"/>
      <c r="AD1515" s="1222"/>
      <c r="AE1515" s="1222"/>
    </row>
    <row r="1516" spans="1:31" ht="39.6">
      <c r="A1516" s="1062"/>
      <c r="B1516" s="991" t="s">
        <v>48</v>
      </c>
      <c r="C1516" s="1074" t="s">
        <v>188</v>
      </c>
      <c r="D1516" s="1073" t="s">
        <v>82</v>
      </c>
      <c r="E1516" s="1073"/>
      <c r="F1516" s="1073"/>
      <c r="G1516" s="1073"/>
      <c r="H1516" s="1073" t="s">
        <v>49</v>
      </c>
      <c r="I1516" s="1090" t="s">
        <v>34</v>
      </c>
      <c r="J1516" s="1097" t="s">
        <v>1983</v>
      </c>
      <c r="K1516" s="1108"/>
      <c r="L1516" s="1120" t="s">
        <v>125</v>
      </c>
      <c r="M1516" s="1120"/>
      <c r="N1516" s="1120"/>
      <c r="O1516" s="1120" t="s">
        <v>125</v>
      </c>
      <c r="P1516" s="1152" t="s">
        <v>125</v>
      </c>
      <c r="Q1516" s="1152" t="s">
        <v>125</v>
      </c>
      <c r="R1516" s="1178">
        <v>218000</v>
      </c>
      <c r="S1516" s="1198" t="s">
        <v>1163</v>
      </c>
      <c r="T1516" s="1119" t="s">
        <v>36</v>
      </c>
      <c r="U1516" s="1119"/>
      <c r="V1516" s="1119"/>
      <c r="W1516" s="1110" t="s">
        <v>1467</v>
      </c>
      <c r="X1516" s="1222"/>
      <c r="Y1516" s="1222"/>
      <c r="Z1516" s="1222"/>
      <c r="AA1516" s="1222"/>
      <c r="AB1516" s="1222"/>
      <c r="AC1516" s="1222"/>
      <c r="AD1516" s="1222"/>
      <c r="AE1516" s="1222"/>
    </row>
    <row r="1517" spans="1:31" ht="39.6">
      <c r="A1517" s="1062"/>
      <c r="B1517" s="991" t="s">
        <v>48</v>
      </c>
      <c r="C1517" s="1074" t="s">
        <v>188</v>
      </c>
      <c r="D1517" s="1073" t="s">
        <v>82</v>
      </c>
      <c r="E1517" s="1073"/>
      <c r="F1517" s="1073"/>
      <c r="G1517" s="1073"/>
      <c r="H1517" s="1073" t="s">
        <v>49</v>
      </c>
      <c r="I1517" s="1090" t="s">
        <v>34</v>
      </c>
      <c r="J1517" s="1097" t="s">
        <v>1984</v>
      </c>
      <c r="K1517" s="1108"/>
      <c r="L1517" s="1120" t="s">
        <v>125</v>
      </c>
      <c r="M1517" s="1120"/>
      <c r="N1517" s="1120"/>
      <c r="O1517" s="1120" t="s">
        <v>125</v>
      </c>
      <c r="P1517" s="1152" t="s">
        <v>125</v>
      </c>
      <c r="Q1517" s="1152" t="s">
        <v>125</v>
      </c>
      <c r="R1517" s="1178">
        <v>15000000</v>
      </c>
      <c r="S1517" s="1198" t="s">
        <v>125</v>
      </c>
      <c r="T1517" s="1119" t="s">
        <v>144</v>
      </c>
      <c r="U1517" s="1119"/>
      <c r="V1517" s="1119"/>
      <c r="W1517" s="1110" t="s">
        <v>1467</v>
      </c>
      <c r="X1517" s="1222"/>
      <c r="Y1517" s="1222"/>
      <c r="Z1517" s="1222"/>
      <c r="AA1517" s="1222"/>
      <c r="AB1517" s="1222"/>
      <c r="AC1517" s="1222"/>
      <c r="AD1517" s="1222"/>
      <c r="AE1517" s="1222"/>
    </row>
    <row r="1518" spans="1:31" ht="39.6">
      <c r="A1518" s="1062"/>
      <c r="B1518" s="991" t="s">
        <v>48</v>
      </c>
      <c r="C1518" s="1074" t="s">
        <v>188</v>
      </c>
      <c r="D1518" s="1073" t="s">
        <v>82</v>
      </c>
      <c r="E1518" s="1073"/>
      <c r="F1518" s="1073"/>
      <c r="G1518" s="1073"/>
      <c r="H1518" s="1073" t="s">
        <v>49</v>
      </c>
      <c r="I1518" s="1090" t="s">
        <v>34</v>
      </c>
      <c r="J1518" s="1097" t="s">
        <v>1985</v>
      </c>
      <c r="K1518" s="1108"/>
      <c r="L1518" s="1120" t="s">
        <v>125</v>
      </c>
      <c r="M1518" s="1120"/>
      <c r="N1518" s="1120"/>
      <c r="O1518" s="1120" t="s">
        <v>125</v>
      </c>
      <c r="P1518" s="1152" t="s">
        <v>125</v>
      </c>
      <c r="Q1518" s="1152" t="s">
        <v>125</v>
      </c>
      <c r="R1518" s="1178">
        <v>373000</v>
      </c>
      <c r="S1518" s="1198" t="s">
        <v>125</v>
      </c>
      <c r="T1518" s="1119" t="s">
        <v>36</v>
      </c>
      <c r="U1518" s="1119"/>
      <c r="V1518" s="1119"/>
      <c r="W1518" s="1110" t="s">
        <v>1467</v>
      </c>
      <c r="X1518" s="1222"/>
      <c r="Y1518" s="1222"/>
      <c r="Z1518" s="1222"/>
      <c r="AA1518" s="1222"/>
      <c r="AB1518" s="1222"/>
      <c r="AC1518" s="1222"/>
      <c r="AD1518" s="1222"/>
      <c r="AE1518" s="1222"/>
    </row>
    <row r="1519" spans="1:31" ht="39.6">
      <c r="A1519" s="1062"/>
      <c r="B1519" s="991" t="s">
        <v>48</v>
      </c>
      <c r="C1519" s="1074" t="s">
        <v>188</v>
      </c>
      <c r="D1519" s="1073" t="s">
        <v>82</v>
      </c>
      <c r="E1519" s="1073"/>
      <c r="F1519" s="1073"/>
      <c r="G1519" s="1073"/>
      <c r="H1519" s="1073" t="s">
        <v>49</v>
      </c>
      <c r="I1519" s="1090" t="s">
        <v>34</v>
      </c>
      <c r="J1519" s="1097" t="s">
        <v>1986</v>
      </c>
      <c r="K1519" s="1108"/>
      <c r="L1519" s="1120" t="s">
        <v>125</v>
      </c>
      <c r="M1519" s="1120"/>
      <c r="N1519" s="1120"/>
      <c r="O1519" s="1120" t="s">
        <v>125</v>
      </c>
      <c r="P1519" s="1152" t="s">
        <v>125</v>
      </c>
      <c r="Q1519" s="1152" t="s">
        <v>125</v>
      </c>
      <c r="R1519" s="1178">
        <v>32000</v>
      </c>
      <c r="S1519" s="1198" t="s">
        <v>1163</v>
      </c>
      <c r="T1519" s="1119" t="s">
        <v>465</v>
      </c>
      <c r="U1519" s="1119"/>
      <c r="V1519" s="1119"/>
      <c r="W1519" s="1110" t="s">
        <v>1467</v>
      </c>
      <c r="X1519" s="1222"/>
      <c r="Y1519" s="1222"/>
      <c r="Z1519" s="1222"/>
      <c r="AA1519" s="1222"/>
      <c r="AB1519" s="1222"/>
      <c r="AC1519" s="1222"/>
      <c r="AD1519" s="1222"/>
      <c r="AE1519" s="1222"/>
    </row>
    <row r="1520" spans="1:31" ht="39.6">
      <c r="A1520" s="1062"/>
      <c r="B1520" s="991" t="s">
        <v>48</v>
      </c>
      <c r="C1520" s="1074" t="s">
        <v>188</v>
      </c>
      <c r="D1520" s="1073" t="s">
        <v>82</v>
      </c>
      <c r="E1520" s="1073"/>
      <c r="F1520" s="1073"/>
      <c r="G1520" s="1073"/>
      <c r="H1520" s="1073" t="s">
        <v>49</v>
      </c>
      <c r="I1520" s="1090" t="s">
        <v>34</v>
      </c>
      <c r="J1520" s="1097" t="s">
        <v>1987</v>
      </c>
      <c r="K1520" s="1108"/>
      <c r="L1520" s="1120" t="s">
        <v>125</v>
      </c>
      <c r="M1520" s="1120"/>
      <c r="N1520" s="1120"/>
      <c r="O1520" s="1120" t="s">
        <v>125</v>
      </c>
      <c r="P1520" s="1152" t="s">
        <v>125</v>
      </c>
      <c r="Q1520" s="1152" t="s">
        <v>125</v>
      </c>
      <c r="R1520" s="1178">
        <v>58000</v>
      </c>
      <c r="S1520" s="1198" t="s">
        <v>1663</v>
      </c>
      <c r="T1520" s="1119" t="s">
        <v>36</v>
      </c>
      <c r="U1520" s="1119"/>
      <c r="V1520" s="1119"/>
      <c r="W1520" s="1110" t="s">
        <v>1467</v>
      </c>
      <c r="X1520" s="1222"/>
      <c r="Y1520" s="1222"/>
      <c r="Z1520" s="1222"/>
      <c r="AA1520" s="1222"/>
      <c r="AB1520" s="1222"/>
      <c r="AC1520" s="1222"/>
      <c r="AD1520" s="1222"/>
      <c r="AE1520" s="1222"/>
    </row>
    <row r="1521" spans="1:31" ht="39.6">
      <c r="A1521" s="1062"/>
      <c r="B1521" s="991" t="s">
        <v>48</v>
      </c>
      <c r="C1521" s="1074" t="s">
        <v>188</v>
      </c>
      <c r="D1521" s="1073" t="s">
        <v>29</v>
      </c>
      <c r="E1521" s="1073"/>
      <c r="F1521" s="1073"/>
      <c r="G1521" s="1073"/>
      <c r="H1521" s="1073" t="s">
        <v>49</v>
      </c>
      <c r="I1521" s="1090" t="s">
        <v>34</v>
      </c>
      <c r="J1521" s="1097" t="s">
        <v>1988</v>
      </c>
      <c r="K1521" s="1108"/>
      <c r="L1521" s="1120" t="s">
        <v>125</v>
      </c>
      <c r="M1521" s="1120"/>
      <c r="N1521" s="1120"/>
      <c r="O1521" s="1120" t="s">
        <v>125</v>
      </c>
      <c r="P1521" s="1152" t="s">
        <v>125</v>
      </c>
      <c r="Q1521" s="1152" t="s">
        <v>125</v>
      </c>
      <c r="R1521" s="1178">
        <v>70000</v>
      </c>
      <c r="S1521" s="1198" t="s">
        <v>1163</v>
      </c>
      <c r="T1521" s="1119" t="s">
        <v>36</v>
      </c>
      <c r="U1521" s="1119"/>
      <c r="V1521" s="1119"/>
      <c r="W1521" s="1110" t="s">
        <v>1467</v>
      </c>
      <c r="X1521" s="1222"/>
      <c r="Y1521" s="1222"/>
      <c r="Z1521" s="1222"/>
      <c r="AA1521" s="1222"/>
      <c r="AB1521" s="1222"/>
      <c r="AC1521" s="1222"/>
      <c r="AD1521" s="1222"/>
      <c r="AE1521" s="1222"/>
    </row>
    <row r="1522" spans="1:31" ht="39.6">
      <c r="A1522" s="1062"/>
      <c r="B1522" s="991" t="s">
        <v>48</v>
      </c>
      <c r="C1522" s="1074" t="s">
        <v>188</v>
      </c>
      <c r="D1522" s="1073" t="s">
        <v>92</v>
      </c>
      <c r="E1522" s="1073"/>
      <c r="F1522" s="1073"/>
      <c r="G1522" s="1073"/>
      <c r="H1522" s="1073" t="s">
        <v>49</v>
      </c>
      <c r="I1522" s="1090" t="s">
        <v>34</v>
      </c>
      <c r="J1522" s="1097" t="s">
        <v>1989</v>
      </c>
      <c r="K1522" s="1108"/>
      <c r="L1522" s="1120" t="s">
        <v>125</v>
      </c>
      <c r="M1522" s="1120"/>
      <c r="N1522" s="1120"/>
      <c r="O1522" s="1120" t="s">
        <v>125</v>
      </c>
      <c r="P1522" s="1152" t="s">
        <v>125</v>
      </c>
      <c r="Q1522" s="1152" t="s">
        <v>125</v>
      </c>
      <c r="R1522" s="1178">
        <v>305000</v>
      </c>
      <c r="S1522" s="1198" t="s">
        <v>1163</v>
      </c>
      <c r="T1522" s="1119" t="s">
        <v>36</v>
      </c>
      <c r="U1522" s="1119"/>
      <c r="V1522" s="1119"/>
      <c r="W1522" s="1110" t="s">
        <v>1467</v>
      </c>
      <c r="X1522" s="1222"/>
      <c r="Y1522" s="1222"/>
      <c r="Z1522" s="1222"/>
      <c r="AA1522" s="1222"/>
      <c r="AB1522" s="1222"/>
      <c r="AC1522" s="1222"/>
      <c r="AD1522" s="1222"/>
      <c r="AE1522" s="1222"/>
    </row>
    <row r="1523" spans="1:31" ht="39.6">
      <c r="A1523" s="1062"/>
      <c r="B1523" s="991" t="s">
        <v>48</v>
      </c>
      <c r="C1523" s="1074" t="s">
        <v>188</v>
      </c>
      <c r="D1523" s="1073" t="s">
        <v>29</v>
      </c>
      <c r="E1523" s="1073"/>
      <c r="F1523" s="1073"/>
      <c r="G1523" s="1073"/>
      <c r="H1523" s="1073" t="s">
        <v>49</v>
      </c>
      <c r="I1523" s="1074" t="s">
        <v>34</v>
      </c>
      <c r="J1523" s="1098" t="s">
        <v>1992</v>
      </c>
      <c r="K1523" s="1110"/>
      <c r="L1523" s="1122" t="s">
        <v>125</v>
      </c>
      <c r="M1523" s="1122"/>
      <c r="N1523" s="1122"/>
      <c r="O1523" s="1122" t="s">
        <v>125</v>
      </c>
      <c r="P1523" s="1155">
        <v>3</v>
      </c>
      <c r="Q1523" s="1155">
        <v>3</v>
      </c>
      <c r="R1523" s="1178">
        <v>72000</v>
      </c>
      <c r="S1523" s="1110" t="s">
        <v>109</v>
      </c>
      <c r="T1523" s="1206" t="s">
        <v>36</v>
      </c>
      <c r="U1523" s="1206"/>
      <c r="V1523" s="1206"/>
      <c r="W1523" s="1110" t="s">
        <v>1467</v>
      </c>
      <c r="X1523" s="1222"/>
      <c r="Y1523" s="1222"/>
      <c r="Z1523" s="1222"/>
      <c r="AA1523" s="1222"/>
      <c r="AB1523" s="1222"/>
      <c r="AC1523" s="1222"/>
      <c r="AD1523" s="1222"/>
      <c r="AE1523" s="1222"/>
    </row>
    <row r="1524" spans="1:31" ht="52.8">
      <c r="A1524" s="1062"/>
      <c r="B1524" s="991" t="s">
        <v>48</v>
      </c>
      <c r="C1524" s="1074" t="s">
        <v>125</v>
      </c>
      <c r="D1524" s="1073" t="s">
        <v>60</v>
      </c>
      <c r="E1524" s="1073"/>
      <c r="F1524" s="1073"/>
      <c r="G1524" s="1073"/>
      <c r="H1524" s="1073" t="s">
        <v>127</v>
      </c>
      <c r="I1524" s="1090" t="s">
        <v>34</v>
      </c>
      <c r="J1524" s="1097" t="s">
        <v>1998</v>
      </c>
      <c r="K1524" s="1108"/>
      <c r="L1524" s="1120" t="s">
        <v>125</v>
      </c>
      <c r="M1524" s="1120"/>
      <c r="N1524" s="1120"/>
      <c r="O1524" s="1120" t="s">
        <v>125</v>
      </c>
      <c r="P1524" s="1152" t="s">
        <v>125</v>
      </c>
      <c r="Q1524" s="1152" t="s">
        <v>125</v>
      </c>
      <c r="R1524" s="1178">
        <v>100000000</v>
      </c>
      <c r="S1524" s="1198" t="s">
        <v>98</v>
      </c>
      <c r="T1524" s="1119" t="s">
        <v>144</v>
      </c>
      <c r="U1524" s="1119"/>
      <c r="V1524" s="1119"/>
      <c r="W1524" s="1110" t="s">
        <v>1133</v>
      </c>
      <c r="X1524" s="1222"/>
      <c r="Y1524" s="1222"/>
      <c r="Z1524" s="1222"/>
      <c r="AA1524" s="1222"/>
      <c r="AB1524" s="1222"/>
      <c r="AC1524" s="1222"/>
      <c r="AD1524" s="1222"/>
      <c r="AE1524" s="1222"/>
    </row>
    <row r="1525" spans="1:31" ht="52.8">
      <c r="A1525" s="1062"/>
      <c r="B1525" s="991" t="s">
        <v>48</v>
      </c>
      <c r="C1525" s="1074" t="s">
        <v>125</v>
      </c>
      <c r="D1525" s="1073" t="s">
        <v>60</v>
      </c>
      <c r="E1525" s="1073"/>
      <c r="F1525" s="1073"/>
      <c r="G1525" s="1073"/>
      <c r="H1525" s="1073" t="s">
        <v>127</v>
      </c>
      <c r="I1525" s="1090" t="s">
        <v>34</v>
      </c>
      <c r="J1525" s="1097" t="s">
        <v>2000</v>
      </c>
      <c r="K1525" s="1108"/>
      <c r="L1525" s="1120" t="s">
        <v>125</v>
      </c>
      <c r="M1525" s="1120"/>
      <c r="N1525" s="1120"/>
      <c r="O1525" s="1120" t="s">
        <v>125</v>
      </c>
      <c r="P1525" s="1120" t="s">
        <v>125</v>
      </c>
      <c r="Q1525" s="1120" t="s">
        <v>125</v>
      </c>
      <c r="R1525" s="1178">
        <v>500000</v>
      </c>
      <c r="S1525" s="1198" t="s">
        <v>1663</v>
      </c>
      <c r="T1525" s="1119" t="s">
        <v>144</v>
      </c>
      <c r="U1525" s="1119"/>
      <c r="V1525" s="1119"/>
      <c r="W1525" s="1110" t="s">
        <v>1133</v>
      </c>
      <c r="X1525" s="1222"/>
      <c r="Y1525" s="1222"/>
      <c r="Z1525" s="1222"/>
      <c r="AA1525" s="1222"/>
      <c r="AB1525" s="1222"/>
      <c r="AC1525" s="1222"/>
      <c r="AD1525" s="1222"/>
      <c r="AE1525" s="1222"/>
    </row>
    <row r="1526" spans="1:31" ht="52.8">
      <c r="A1526" s="1062"/>
      <c r="B1526" s="991" t="s">
        <v>48</v>
      </c>
      <c r="C1526" s="1074" t="s">
        <v>125</v>
      </c>
      <c r="D1526" s="1073" t="s">
        <v>60</v>
      </c>
      <c r="E1526" s="1073"/>
      <c r="F1526" s="1073"/>
      <c r="G1526" s="1073"/>
      <c r="H1526" s="1073" t="s">
        <v>127</v>
      </c>
      <c r="I1526" s="1090" t="s">
        <v>34</v>
      </c>
      <c r="J1526" s="1097" t="s">
        <v>2001</v>
      </c>
      <c r="K1526" s="1108"/>
      <c r="L1526" s="1120" t="s">
        <v>125</v>
      </c>
      <c r="M1526" s="1120"/>
      <c r="N1526" s="1120"/>
      <c r="O1526" s="1120" t="s">
        <v>125</v>
      </c>
      <c r="P1526" s="1120" t="s">
        <v>125</v>
      </c>
      <c r="Q1526" s="1120" t="s">
        <v>125</v>
      </c>
      <c r="R1526" s="1178">
        <v>10000</v>
      </c>
      <c r="S1526" s="1198" t="s">
        <v>909</v>
      </c>
      <c r="T1526" s="1119" t="s">
        <v>465</v>
      </c>
      <c r="U1526" s="1119"/>
      <c r="V1526" s="1119"/>
      <c r="W1526" s="1110" t="s">
        <v>1133</v>
      </c>
      <c r="X1526" s="1222"/>
      <c r="Y1526" s="1222"/>
      <c r="Z1526" s="1222"/>
      <c r="AA1526" s="1222"/>
      <c r="AB1526" s="1222"/>
      <c r="AC1526" s="1222"/>
      <c r="AD1526" s="1222"/>
      <c r="AE1526" s="1222"/>
    </row>
    <row r="1527" spans="1:31" ht="52.8">
      <c r="A1527" s="1062"/>
      <c r="B1527" s="991" t="s">
        <v>48</v>
      </c>
      <c r="C1527" s="1074" t="s">
        <v>125</v>
      </c>
      <c r="D1527" s="1073" t="s">
        <v>60</v>
      </c>
      <c r="E1527" s="1073"/>
      <c r="F1527" s="1073"/>
      <c r="G1527" s="1073"/>
      <c r="H1527" s="1073" t="s">
        <v>127</v>
      </c>
      <c r="I1527" s="1090" t="s">
        <v>34</v>
      </c>
      <c r="J1527" s="1097" t="s">
        <v>2002</v>
      </c>
      <c r="K1527" s="1108"/>
      <c r="L1527" s="1120">
        <v>43862</v>
      </c>
      <c r="M1527" s="1120"/>
      <c r="N1527" s="1120"/>
      <c r="O1527" s="1120" t="s">
        <v>125</v>
      </c>
      <c r="P1527" s="1152">
        <v>1</v>
      </c>
      <c r="Q1527" s="1152">
        <v>1</v>
      </c>
      <c r="R1527" s="1178">
        <v>8000</v>
      </c>
      <c r="S1527" s="1198" t="s">
        <v>2003</v>
      </c>
      <c r="T1527" s="1119" t="s">
        <v>465</v>
      </c>
      <c r="U1527" s="1119"/>
      <c r="V1527" s="1119"/>
      <c r="W1527" s="1107" t="s">
        <v>1133</v>
      </c>
      <c r="X1527" s="1222"/>
      <c r="Y1527" s="1222"/>
      <c r="Z1527" s="1222"/>
      <c r="AA1527" s="1222"/>
      <c r="AB1527" s="1222"/>
      <c r="AC1527" s="1222"/>
      <c r="AD1527" s="1222"/>
      <c r="AE1527" s="1222"/>
    </row>
    <row r="1528" spans="1:31" ht="52.8">
      <c r="A1528" s="1062"/>
      <c r="B1528" s="991" t="s">
        <v>48</v>
      </c>
      <c r="C1528" s="1074" t="s">
        <v>125</v>
      </c>
      <c r="D1528" s="1073" t="s">
        <v>29</v>
      </c>
      <c r="E1528" s="1073"/>
      <c r="F1528" s="1073"/>
      <c r="G1528" s="1073"/>
      <c r="H1528" s="1073" t="s">
        <v>127</v>
      </c>
      <c r="I1528" s="1090" t="s">
        <v>34</v>
      </c>
      <c r="J1528" s="1097" t="s">
        <v>2019</v>
      </c>
      <c r="K1528" s="1108"/>
      <c r="L1528" s="1120">
        <v>43697</v>
      </c>
      <c r="M1528" s="1120"/>
      <c r="N1528" s="1120"/>
      <c r="O1528" s="1120" t="s">
        <v>125</v>
      </c>
      <c r="P1528" s="1152" t="s">
        <v>125</v>
      </c>
      <c r="Q1528" s="1152" t="s">
        <v>125</v>
      </c>
      <c r="R1528" s="1178" t="s">
        <v>125</v>
      </c>
      <c r="S1528" s="1198" t="s">
        <v>125</v>
      </c>
      <c r="T1528" s="1119" t="s">
        <v>125</v>
      </c>
      <c r="U1528" s="1119" t="s">
        <v>125</v>
      </c>
      <c r="V1528" s="1119"/>
      <c r="W1528" s="1090" t="s">
        <v>756</v>
      </c>
      <c r="X1528" s="1222"/>
      <c r="Y1528" s="1222"/>
      <c r="Z1528" s="1222"/>
      <c r="AA1528" s="1222"/>
      <c r="AB1528" s="1222"/>
      <c r="AC1528" s="1222"/>
      <c r="AD1528" s="1222"/>
      <c r="AE1528" s="1222"/>
    </row>
    <row r="1529" spans="1:31" ht="39.6">
      <c r="A1529" s="1062"/>
      <c r="B1529" s="991" t="s">
        <v>48</v>
      </c>
      <c r="C1529" s="1074" t="s">
        <v>125</v>
      </c>
      <c r="D1529" s="1073" t="s">
        <v>92</v>
      </c>
      <c r="E1529" s="1073"/>
      <c r="F1529" s="1073"/>
      <c r="G1529" s="1073"/>
      <c r="H1529" s="1073" t="s">
        <v>49</v>
      </c>
      <c r="I1529" s="1090" t="s">
        <v>34</v>
      </c>
      <c r="J1529" s="1097" t="s">
        <v>2020</v>
      </c>
      <c r="K1529" s="1108"/>
      <c r="L1529" s="1120" t="s">
        <v>125</v>
      </c>
      <c r="M1529" s="1120"/>
      <c r="N1529" s="1120"/>
      <c r="O1529" s="1120" t="s">
        <v>125</v>
      </c>
      <c r="P1529" s="1152" t="s">
        <v>125</v>
      </c>
      <c r="Q1529" s="1152" t="s">
        <v>125</v>
      </c>
      <c r="R1529" s="1178" t="s">
        <v>125</v>
      </c>
      <c r="S1529" s="1198" t="s">
        <v>1163</v>
      </c>
      <c r="T1529" s="1119" t="s">
        <v>125</v>
      </c>
      <c r="U1529" s="1119" t="s">
        <v>125</v>
      </c>
      <c r="V1529" s="1119"/>
      <c r="W1529" s="1090" t="s">
        <v>1709</v>
      </c>
      <c r="X1529" s="1222"/>
      <c r="Y1529" s="1222"/>
      <c r="Z1529" s="1222"/>
      <c r="AA1529" s="1222"/>
      <c r="AB1529" s="1222"/>
      <c r="AC1529" s="1222"/>
      <c r="AD1529" s="1222"/>
      <c r="AE1529" s="1222"/>
    </row>
    <row r="1530" spans="1:31" ht="39.6">
      <c r="A1530" s="1062"/>
      <c r="B1530" s="991" t="s">
        <v>48</v>
      </c>
      <c r="C1530" s="1074" t="s">
        <v>125</v>
      </c>
      <c r="D1530" s="1073" t="s">
        <v>60</v>
      </c>
      <c r="E1530" s="1073"/>
      <c r="F1530" s="1073"/>
      <c r="G1530" s="1073"/>
      <c r="H1530" s="1073" t="s">
        <v>49</v>
      </c>
      <c r="I1530" s="1074" t="s">
        <v>34</v>
      </c>
      <c r="J1530" s="1098" t="s">
        <v>2044</v>
      </c>
      <c r="K1530" s="1110"/>
      <c r="L1530" s="1122" t="s">
        <v>125</v>
      </c>
      <c r="M1530" s="1122"/>
      <c r="N1530" s="1122"/>
      <c r="O1530" s="1122" t="s">
        <v>125</v>
      </c>
      <c r="P1530" s="1155" t="s">
        <v>125</v>
      </c>
      <c r="Q1530" s="1155" t="s">
        <v>125</v>
      </c>
      <c r="R1530" s="1178" t="s">
        <v>125</v>
      </c>
      <c r="S1530" s="1110" t="s">
        <v>109</v>
      </c>
      <c r="T1530" s="1206" t="s">
        <v>125</v>
      </c>
      <c r="U1530" s="1119" t="s">
        <v>125</v>
      </c>
      <c r="V1530" s="1119"/>
      <c r="W1530" s="1074" t="s">
        <v>1802</v>
      </c>
      <c r="X1530" s="1222"/>
      <c r="Y1530" s="1222"/>
      <c r="Z1530" s="1222"/>
      <c r="AA1530" s="1222"/>
      <c r="AB1530" s="1222"/>
      <c r="AC1530" s="1222"/>
      <c r="AD1530" s="1222"/>
      <c r="AE1530" s="1222"/>
    </row>
    <row r="1531" spans="1:31" ht="39.6">
      <c r="A1531" s="1062"/>
      <c r="B1531" s="991" t="s">
        <v>48</v>
      </c>
      <c r="C1531" s="1074" t="s">
        <v>125</v>
      </c>
      <c r="D1531" s="1073" t="s">
        <v>82</v>
      </c>
      <c r="E1531" s="1073"/>
      <c r="F1531" s="1073"/>
      <c r="G1531" s="1073"/>
      <c r="H1531" s="1073" t="s">
        <v>49</v>
      </c>
      <c r="I1531" s="1090" t="s">
        <v>34</v>
      </c>
      <c r="J1531" s="1097" t="s">
        <v>2045</v>
      </c>
      <c r="K1531" s="1108"/>
      <c r="L1531" s="1120" t="s">
        <v>125</v>
      </c>
      <c r="M1531" s="1120"/>
      <c r="N1531" s="1120"/>
      <c r="O1531" s="1120" t="s">
        <v>125</v>
      </c>
      <c r="P1531" s="1152" t="s">
        <v>125</v>
      </c>
      <c r="Q1531" s="1152" t="s">
        <v>125</v>
      </c>
      <c r="R1531" s="1178">
        <v>6000000</v>
      </c>
      <c r="S1531" s="1198" t="s">
        <v>1163</v>
      </c>
      <c r="T1531" s="1119" t="s">
        <v>144</v>
      </c>
      <c r="U1531" s="1119" t="s">
        <v>125</v>
      </c>
      <c r="V1531" s="1119"/>
      <c r="W1531" s="1090" t="s">
        <v>406</v>
      </c>
      <c r="X1531" s="1222"/>
      <c r="Y1531" s="1222"/>
      <c r="Z1531" s="1222"/>
      <c r="AA1531" s="1222"/>
      <c r="AB1531" s="1222"/>
      <c r="AC1531" s="1222"/>
      <c r="AD1531" s="1222"/>
      <c r="AE1531" s="1222"/>
    </row>
    <row r="1532" spans="1:31" ht="39.6">
      <c r="A1532" s="1062"/>
      <c r="B1532" s="991" t="s">
        <v>48</v>
      </c>
      <c r="C1532" s="1074" t="s">
        <v>125</v>
      </c>
      <c r="D1532" s="1073" t="s">
        <v>82</v>
      </c>
      <c r="E1532" s="1073"/>
      <c r="F1532" s="1073"/>
      <c r="G1532" s="1073"/>
      <c r="H1532" s="1073" t="s">
        <v>49</v>
      </c>
      <c r="I1532" s="1090" t="s">
        <v>34</v>
      </c>
      <c r="J1532" s="1097" t="s">
        <v>2049</v>
      </c>
      <c r="K1532" s="1108"/>
      <c r="L1532" s="1120" t="s">
        <v>125</v>
      </c>
      <c r="M1532" s="1120"/>
      <c r="N1532" s="1120"/>
      <c r="O1532" s="1120" t="s">
        <v>125</v>
      </c>
      <c r="P1532" s="1152">
        <v>8</v>
      </c>
      <c r="Q1532" s="1152">
        <v>8</v>
      </c>
      <c r="R1532" s="1178" t="s">
        <v>125</v>
      </c>
      <c r="S1532" s="1198" t="s">
        <v>158</v>
      </c>
      <c r="T1532" s="1119" t="s">
        <v>144</v>
      </c>
      <c r="U1532" s="1119" t="s">
        <v>125</v>
      </c>
      <c r="V1532" s="1119"/>
      <c r="W1532" s="1090" t="s">
        <v>2050</v>
      </c>
      <c r="X1532" s="1222"/>
      <c r="Y1532" s="1222"/>
      <c r="Z1532" s="1222"/>
      <c r="AA1532" s="1222"/>
      <c r="AB1532" s="1222"/>
      <c r="AC1532" s="1222"/>
      <c r="AD1532" s="1222"/>
      <c r="AE1532" s="1222"/>
    </row>
    <row r="1533" spans="1:31" ht="52.8">
      <c r="A1533" s="1062"/>
      <c r="B1533" s="991" t="s">
        <v>48</v>
      </c>
      <c r="C1533" s="1074" t="s">
        <v>125</v>
      </c>
      <c r="D1533" s="1073" t="s">
        <v>60</v>
      </c>
      <c r="E1533" s="1073"/>
      <c r="F1533" s="1073"/>
      <c r="G1533" s="1073"/>
      <c r="H1533" s="1073" t="s">
        <v>127</v>
      </c>
      <c r="I1533" s="1090" t="s">
        <v>34</v>
      </c>
      <c r="J1533" s="1097" t="s">
        <v>2051</v>
      </c>
      <c r="K1533" s="1108"/>
      <c r="L1533" s="1119">
        <v>43862</v>
      </c>
      <c r="M1533" s="1119"/>
      <c r="N1533" s="1119"/>
      <c r="O1533" s="1119" t="s">
        <v>125</v>
      </c>
      <c r="P1533" s="1152">
        <v>1</v>
      </c>
      <c r="Q1533" s="1152">
        <v>1</v>
      </c>
      <c r="R1533" s="1178">
        <v>24999</v>
      </c>
      <c r="S1533" s="1198" t="s">
        <v>164</v>
      </c>
      <c r="T1533" s="1119" t="s">
        <v>465</v>
      </c>
      <c r="U1533" s="1119" t="s">
        <v>100</v>
      </c>
      <c r="V1533" s="1119"/>
      <c r="W1533" s="1090" t="s">
        <v>1339</v>
      </c>
      <c r="X1533" s="1222"/>
      <c r="Y1533" s="1222"/>
      <c r="Z1533" s="1222"/>
      <c r="AA1533" s="1222"/>
      <c r="AB1533" s="1222"/>
      <c r="AC1533" s="1222"/>
      <c r="AD1533" s="1222"/>
      <c r="AE1533" s="1222"/>
    </row>
    <row r="1534" spans="1:31" ht="52.8">
      <c r="A1534" s="1062"/>
      <c r="B1534" s="991" t="s">
        <v>48</v>
      </c>
      <c r="C1534" s="1073" t="s">
        <v>125</v>
      </c>
      <c r="D1534" s="1073" t="s">
        <v>60</v>
      </c>
      <c r="E1534" s="1073"/>
      <c r="F1534" s="1073"/>
      <c r="G1534" s="1073"/>
      <c r="H1534" s="1073" t="s">
        <v>127</v>
      </c>
      <c r="I1534" s="1090" t="s">
        <v>34</v>
      </c>
      <c r="J1534" s="1096" t="s">
        <v>2072</v>
      </c>
      <c r="K1534" s="1107"/>
      <c r="L1534" s="1119">
        <v>44287</v>
      </c>
      <c r="M1534" s="1119"/>
      <c r="N1534" s="1119"/>
      <c r="O1534" s="1119" t="s">
        <v>125</v>
      </c>
      <c r="P1534" s="1152" t="s">
        <v>188</v>
      </c>
      <c r="Q1534" s="1152" t="s">
        <v>188</v>
      </c>
      <c r="R1534" s="1178" t="s">
        <v>188</v>
      </c>
      <c r="S1534" s="1119" t="s">
        <v>158</v>
      </c>
      <c r="T1534" s="1119" t="s">
        <v>144</v>
      </c>
      <c r="U1534" s="1073" t="s">
        <v>125</v>
      </c>
      <c r="V1534" s="1073"/>
      <c r="W1534" s="1215" t="s">
        <v>2073</v>
      </c>
      <c r="X1534" s="1222"/>
      <c r="Y1534" s="1222"/>
      <c r="Z1534" s="1222"/>
      <c r="AA1534" s="1222"/>
      <c r="AB1534" s="1222"/>
      <c r="AC1534" s="1222"/>
      <c r="AD1534" s="1222"/>
      <c r="AE1534" s="1222"/>
    </row>
    <row r="1535" spans="1:31" ht="52.8">
      <c r="A1535" s="1062"/>
      <c r="B1535" s="991" t="s">
        <v>48</v>
      </c>
      <c r="C1535" s="1074" t="s">
        <v>125</v>
      </c>
      <c r="D1535" s="1073" t="s">
        <v>60</v>
      </c>
      <c r="E1535" s="1073"/>
      <c r="F1535" s="1073"/>
      <c r="G1535" s="1073"/>
      <c r="H1535" s="1073" t="s">
        <v>127</v>
      </c>
      <c r="I1535" s="1090" t="s">
        <v>34</v>
      </c>
      <c r="J1535" s="1097" t="s">
        <v>2093</v>
      </c>
      <c r="K1535" s="1108"/>
      <c r="L1535" s="1119" t="s">
        <v>125</v>
      </c>
      <c r="M1535" s="1119"/>
      <c r="N1535" s="1119"/>
      <c r="O1535" s="1119" t="s">
        <v>125</v>
      </c>
      <c r="P1535" s="1152" t="s">
        <v>125</v>
      </c>
      <c r="Q1535" s="1152" t="s">
        <v>125</v>
      </c>
      <c r="R1535" s="1178">
        <v>520000</v>
      </c>
      <c r="S1535" s="1119" t="s">
        <v>1163</v>
      </c>
      <c r="T1535" s="1119" t="s">
        <v>144</v>
      </c>
      <c r="U1535" s="1119" t="s">
        <v>125</v>
      </c>
      <c r="V1535" s="1119"/>
      <c r="W1535" s="1090" t="s">
        <v>222</v>
      </c>
      <c r="X1535" s="1222"/>
      <c r="Y1535" s="1222"/>
      <c r="Z1535" s="1222"/>
      <c r="AA1535" s="1222"/>
      <c r="AB1535" s="1222"/>
      <c r="AC1535" s="1222"/>
      <c r="AD1535" s="1222"/>
      <c r="AE1535" s="1222"/>
    </row>
    <row r="1536" spans="1:31" ht="26.4">
      <c r="A1536" s="1062"/>
      <c r="B1536" s="991" t="s">
        <v>48</v>
      </c>
      <c r="C1536" s="1074" t="s">
        <v>125</v>
      </c>
      <c r="D1536" s="1073" t="s">
        <v>60</v>
      </c>
      <c r="E1536" s="1073"/>
      <c r="F1536" s="1073"/>
      <c r="G1536" s="1073"/>
      <c r="H1536" s="1073" t="s">
        <v>70</v>
      </c>
      <c r="I1536" s="1090" t="s">
        <v>34</v>
      </c>
      <c r="J1536" s="1097" t="s">
        <v>2099</v>
      </c>
      <c r="K1536" s="1108"/>
      <c r="L1536" s="1119">
        <v>43800</v>
      </c>
      <c r="M1536" s="1119"/>
      <c r="N1536" s="1119"/>
      <c r="O1536" s="1119" t="s">
        <v>35</v>
      </c>
      <c r="P1536" s="1152" t="s">
        <v>35</v>
      </c>
      <c r="Q1536" s="1152" t="s">
        <v>35</v>
      </c>
      <c r="R1536" s="1178">
        <v>300000</v>
      </c>
      <c r="S1536" s="1119" t="s">
        <v>35</v>
      </c>
      <c r="T1536" s="1119" t="s">
        <v>36</v>
      </c>
      <c r="U1536" s="1119" t="s">
        <v>35</v>
      </c>
      <c r="V1536" s="1119"/>
      <c r="W1536" s="1090" t="s">
        <v>2100</v>
      </c>
      <c r="X1536" s="1222"/>
      <c r="Y1536" s="1222"/>
      <c r="Z1536" s="1222"/>
      <c r="AA1536" s="1222"/>
      <c r="AB1536" s="1222"/>
      <c r="AC1536" s="1222"/>
      <c r="AD1536" s="1222"/>
      <c r="AE1536" s="1222"/>
    </row>
    <row r="1537" spans="1:32" ht="66">
      <c r="A1537" s="1062"/>
      <c r="B1537" s="991" t="s">
        <v>48</v>
      </c>
      <c r="C1537" s="1073" t="s">
        <v>2110</v>
      </c>
      <c r="D1537" s="1073" t="s">
        <v>60</v>
      </c>
      <c r="E1537" s="1073"/>
      <c r="F1537" s="1073"/>
      <c r="G1537" s="1073"/>
      <c r="H1537" s="1073" t="s">
        <v>127</v>
      </c>
      <c r="I1537" s="1090" t="s">
        <v>34</v>
      </c>
      <c r="J1537" s="1096" t="s">
        <v>2111</v>
      </c>
      <c r="K1537" s="1107"/>
      <c r="L1537" s="1119">
        <v>44287</v>
      </c>
      <c r="M1537" s="1119"/>
      <c r="N1537" s="1119"/>
      <c r="O1537" s="1119" t="s">
        <v>125</v>
      </c>
      <c r="P1537" s="1152">
        <v>1</v>
      </c>
      <c r="Q1537" s="1152">
        <v>1</v>
      </c>
      <c r="R1537" s="1178">
        <v>225290.317824</v>
      </c>
      <c r="S1537" s="1119" t="s">
        <v>158</v>
      </c>
      <c r="T1537" s="1119" t="s">
        <v>36</v>
      </c>
      <c r="U1537" s="1073" t="s">
        <v>125</v>
      </c>
      <c r="V1537" s="1073"/>
      <c r="W1537" s="1215" t="s">
        <v>2075</v>
      </c>
      <c r="X1537" s="1222"/>
      <c r="Y1537" s="1222"/>
      <c r="Z1537" s="1222"/>
      <c r="AA1537" s="1222"/>
      <c r="AB1537" s="1222"/>
      <c r="AC1537" s="1222"/>
      <c r="AD1537" s="1222"/>
      <c r="AE1537" s="1222"/>
    </row>
    <row r="1538" spans="1:32" ht="52.8">
      <c r="A1538" s="1062"/>
      <c r="B1538" s="991" t="s">
        <v>48</v>
      </c>
      <c r="C1538" s="1073" t="s">
        <v>2114</v>
      </c>
      <c r="D1538" s="1073" t="s">
        <v>60</v>
      </c>
      <c r="E1538" s="1073"/>
      <c r="F1538" s="1073"/>
      <c r="G1538" s="1073"/>
      <c r="H1538" s="1073" t="s">
        <v>127</v>
      </c>
      <c r="I1538" s="1090" t="s">
        <v>34</v>
      </c>
      <c r="J1538" s="1096" t="s">
        <v>2115</v>
      </c>
      <c r="K1538" s="1107"/>
      <c r="L1538" s="1119" t="s">
        <v>125</v>
      </c>
      <c r="M1538" s="1119"/>
      <c r="N1538" s="1119"/>
      <c r="O1538" s="1119" t="s">
        <v>125</v>
      </c>
      <c r="P1538" s="1152" t="s">
        <v>125</v>
      </c>
      <c r="Q1538" s="1152" t="s">
        <v>125</v>
      </c>
      <c r="R1538" s="1178">
        <v>337000</v>
      </c>
      <c r="S1538" s="1119" t="s">
        <v>158</v>
      </c>
      <c r="T1538" s="1119" t="s">
        <v>36</v>
      </c>
      <c r="U1538" s="1073" t="s">
        <v>125</v>
      </c>
      <c r="V1538" s="1073"/>
      <c r="W1538" s="1215" t="s">
        <v>834</v>
      </c>
      <c r="X1538" s="1222"/>
      <c r="Y1538" s="1222"/>
      <c r="Z1538" s="1222"/>
      <c r="AA1538" s="1222"/>
      <c r="AB1538" s="1222"/>
      <c r="AC1538" s="1222"/>
      <c r="AD1538" s="1222"/>
      <c r="AE1538" s="1222"/>
    </row>
    <row r="1539" spans="1:32" ht="105.6">
      <c r="A1539" s="1062"/>
      <c r="B1539" s="991" t="s">
        <v>48</v>
      </c>
      <c r="C1539" s="1073" t="s">
        <v>2123</v>
      </c>
      <c r="D1539" s="1073" t="s">
        <v>60</v>
      </c>
      <c r="E1539" s="1073"/>
      <c r="F1539" s="1073"/>
      <c r="G1539" s="1073"/>
      <c r="H1539" s="1073" t="s">
        <v>127</v>
      </c>
      <c r="I1539" s="1090" t="s">
        <v>34</v>
      </c>
      <c r="J1539" s="1096" t="s">
        <v>2124</v>
      </c>
      <c r="K1539" s="1107"/>
      <c r="L1539" s="1119">
        <v>44011</v>
      </c>
      <c r="M1539" s="1119"/>
      <c r="N1539" s="1119"/>
      <c r="O1539" s="1119" t="s">
        <v>125</v>
      </c>
      <c r="P1539" s="1152">
        <v>1</v>
      </c>
      <c r="Q1539" s="1152">
        <v>1</v>
      </c>
      <c r="R1539" s="1175">
        <v>390485</v>
      </c>
      <c r="S1539" s="1119" t="s">
        <v>158</v>
      </c>
      <c r="T1539" s="1119" t="s">
        <v>36</v>
      </c>
      <c r="U1539" s="1073" t="s">
        <v>125</v>
      </c>
      <c r="V1539" s="1073"/>
      <c r="W1539" s="1215" t="s">
        <v>2073</v>
      </c>
      <c r="X1539" s="1222"/>
      <c r="Y1539" s="1222"/>
      <c r="Z1539" s="1222"/>
      <c r="AA1539" s="1222"/>
      <c r="AB1539" s="1222"/>
      <c r="AC1539" s="1222"/>
      <c r="AD1539" s="1222"/>
      <c r="AE1539" s="1222"/>
    </row>
    <row r="1540" spans="1:32" ht="26.4">
      <c r="A1540" s="1062"/>
      <c r="B1540" s="991" t="s">
        <v>48</v>
      </c>
      <c r="C1540" s="1074" t="s">
        <v>125</v>
      </c>
      <c r="D1540" s="1073" t="s">
        <v>29</v>
      </c>
      <c r="E1540" s="1073"/>
      <c r="F1540" s="1073"/>
      <c r="G1540" s="1073"/>
      <c r="H1540" s="1073" t="s">
        <v>165</v>
      </c>
      <c r="I1540" s="1090" t="s">
        <v>34</v>
      </c>
      <c r="J1540" s="1097" t="s">
        <v>2125</v>
      </c>
      <c r="K1540" s="1108"/>
      <c r="L1540" s="1119" t="s">
        <v>125</v>
      </c>
      <c r="M1540" s="1119"/>
      <c r="N1540" s="1119"/>
      <c r="O1540" s="1119" t="s">
        <v>125</v>
      </c>
      <c r="P1540" s="1152" t="s">
        <v>125</v>
      </c>
      <c r="Q1540" s="1152" t="s">
        <v>125</v>
      </c>
      <c r="R1540" s="1175">
        <v>250000</v>
      </c>
      <c r="S1540" s="1119" t="s">
        <v>125</v>
      </c>
      <c r="T1540" s="1119" t="s">
        <v>36</v>
      </c>
      <c r="U1540" s="1119" t="s">
        <v>125</v>
      </c>
      <c r="V1540" s="1119"/>
      <c r="W1540" s="1090" t="s">
        <v>125</v>
      </c>
      <c r="X1540" s="1222"/>
      <c r="Y1540" s="1222"/>
      <c r="Z1540" s="1222"/>
      <c r="AA1540" s="1222"/>
      <c r="AB1540" s="1222"/>
      <c r="AC1540" s="1222"/>
      <c r="AD1540" s="1222"/>
      <c r="AE1540" s="1222"/>
    </row>
    <row r="1541" spans="1:32" ht="52.8">
      <c r="A1541" s="1062"/>
      <c r="B1541" s="991" t="s">
        <v>48</v>
      </c>
      <c r="C1541" s="1074" t="s">
        <v>125</v>
      </c>
      <c r="D1541" s="1073" t="s">
        <v>60</v>
      </c>
      <c r="E1541" s="1073"/>
      <c r="F1541" s="1073"/>
      <c r="G1541" s="1073"/>
      <c r="H1541" s="1073" t="s">
        <v>127</v>
      </c>
      <c r="I1541" s="1090" t="s">
        <v>34</v>
      </c>
      <c r="J1541" s="1097" t="s">
        <v>2126</v>
      </c>
      <c r="K1541" s="1108"/>
      <c r="L1541" s="1119" t="s">
        <v>125</v>
      </c>
      <c r="M1541" s="1119"/>
      <c r="N1541" s="1119"/>
      <c r="O1541" s="1119" t="s">
        <v>125</v>
      </c>
      <c r="P1541" s="1152" t="s">
        <v>125</v>
      </c>
      <c r="Q1541" s="1152" t="s">
        <v>35</v>
      </c>
      <c r="R1541" s="1175" t="s">
        <v>125</v>
      </c>
      <c r="S1541" s="1119" t="s">
        <v>125</v>
      </c>
      <c r="T1541" s="1119" t="s">
        <v>125</v>
      </c>
      <c r="U1541" s="1119" t="s">
        <v>125</v>
      </c>
      <c r="V1541" s="1119"/>
      <c r="W1541" s="1090" t="s">
        <v>834</v>
      </c>
      <c r="X1541" s="1222"/>
      <c r="Y1541" s="1222"/>
      <c r="Z1541" s="1222"/>
      <c r="AA1541" s="1222"/>
      <c r="AB1541" s="1222"/>
      <c r="AC1541" s="1222"/>
      <c r="AD1541" s="1222"/>
      <c r="AE1541" s="1222"/>
    </row>
    <row r="1542" spans="1:32" ht="52.8">
      <c r="A1542" s="1062"/>
      <c r="B1542" s="991" t="s">
        <v>48</v>
      </c>
      <c r="C1542" s="1074" t="s">
        <v>125</v>
      </c>
      <c r="D1542" s="1073" t="s">
        <v>60</v>
      </c>
      <c r="E1542" s="1073"/>
      <c r="F1542" s="1073"/>
      <c r="G1542" s="1073"/>
      <c r="H1542" s="1073" t="s">
        <v>127</v>
      </c>
      <c r="I1542" s="1090" t="s">
        <v>34</v>
      </c>
      <c r="J1542" s="1096" t="s">
        <v>2138</v>
      </c>
      <c r="K1542" s="1107"/>
      <c r="L1542" s="1121" t="s">
        <v>125</v>
      </c>
      <c r="M1542" s="1121"/>
      <c r="N1542" s="1121"/>
      <c r="O1542" s="1121" t="s">
        <v>125</v>
      </c>
      <c r="P1542" s="1154" t="s">
        <v>125</v>
      </c>
      <c r="Q1542" s="1154" t="s">
        <v>125</v>
      </c>
      <c r="R1542" s="1179">
        <v>250000</v>
      </c>
      <c r="S1542" s="1154" t="s">
        <v>125</v>
      </c>
      <c r="T1542" s="1154" t="s">
        <v>36</v>
      </c>
      <c r="U1542" s="1121">
        <v>43700</v>
      </c>
      <c r="V1542" s="1121"/>
      <c r="W1542" s="1090" t="s">
        <v>834</v>
      </c>
      <c r="X1542" s="1222"/>
      <c r="Y1542" s="1222"/>
      <c r="Z1542" s="1222"/>
      <c r="AA1542" s="1222"/>
      <c r="AB1542" s="1222"/>
      <c r="AC1542" s="1222"/>
      <c r="AD1542" s="1222"/>
      <c r="AE1542" s="1222"/>
    </row>
    <row r="1543" spans="1:32" ht="52.8">
      <c r="A1543" s="1062"/>
      <c r="B1543" s="991" t="s">
        <v>48</v>
      </c>
      <c r="C1543" s="1074" t="s">
        <v>125</v>
      </c>
      <c r="D1543" s="1073" t="s">
        <v>60</v>
      </c>
      <c r="E1543" s="1073"/>
      <c r="F1543" s="1073"/>
      <c r="G1543" s="1073"/>
      <c r="H1543" s="1073" t="s">
        <v>127</v>
      </c>
      <c r="I1543" s="1090" t="s">
        <v>34</v>
      </c>
      <c r="J1543" s="1096" t="s">
        <v>2139</v>
      </c>
      <c r="K1543" s="1107"/>
      <c r="L1543" s="1121" t="s">
        <v>2140</v>
      </c>
      <c r="M1543" s="1121"/>
      <c r="N1543" s="1121"/>
      <c r="O1543" s="1121" t="s">
        <v>125</v>
      </c>
      <c r="P1543" s="1154" t="s">
        <v>125</v>
      </c>
      <c r="Q1543" s="1154" t="s">
        <v>125</v>
      </c>
      <c r="R1543" s="1179">
        <v>700000</v>
      </c>
      <c r="S1543" s="1154" t="s">
        <v>2141</v>
      </c>
      <c r="T1543" s="1154" t="s">
        <v>144</v>
      </c>
      <c r="U1543" s="1121">
        <v>43700</v>
      </c>
      <c r="V1543" s="1121"/>
      <c r="W1543" s="1090" t="s">
        <v>834</v>
      </c>
      <c r="X1543" s="1222"/>
      <c r="Y1543" s="1222"/>
      <c r="Z1543" s="1222"/>
      <c r="AA1543" s="1222"/>
      <c r="AB1543" s="1222"/>
      <c r="AC1543" s="1222"/>
      <c r="AD1543" s="1222"/>
      <c r="AE1543" s="1222"/>
    </row>
    <row r="1544" spans="1:32" ht="52.8">
      <c r="A1544" s="1062"/>
      <c r="B1544" s="991" t="s">
        <v>48</v>
      </c>
      <c r="C1544" s="1074" t="s">
        <v>125</v>
      </c>
      <c r="D1544" s="1073" t="s">
        <v>60</v>
      </c>
      <c r="E1544" s="1073"/>
      <c r="F1544" s="1073"/>
      <c r="G1544" s="1073"/>
      <c r="H1544" s="1073" t="s">
        <v>127</v>
      </c>
      <c r="I1544" s="1090" t="s">
        <v>34</v>
      </c>
      <c r="J1544" s="1097" t="s">
        <v>2142</v>
      </c>
      <c r="K1544" s="1108"/>
      <c r="L1544" s="1119" t="s">
        <v>125</v>
      </c>
      <c r="M1544" s="1119"/>
      <c r="N1544" s="1119"/>
      <c r="O1544" s="1119" t="s">
        <v>125</v>
      </c>
      <c r="P1544" s="1152" t="s">
        <v>125</v>
      </c>
      <c r="Q1544" s="1152" t="s">
        <v>125</v>
      </c>
      <c r="R1544" s="1175">
        <v>652000</v>
      </c>
      <c r="S1544" s="1119" t="s">
        <v>1663</v>
      </c>
      <c r="T1544" s="1119" t="s">
        <v>144</v>
      </c>
      <c r="U1544" s="1119">
        <v>43700</v>
      </c>
      <c r="V1544" s="1119"/>
      <c r="W1544" s="1090" t="s">
        <v>834</v>
      </c>
      <c r="X1544" s="1222"/>
      <c r="Y1544" s="1222"/>
      <c r="Z1544" s="1222"/>
      <c r="AA1544" s="1222"/>
      <c r="AB1544" s="1222"/>
      <c r="AC1544" s="1222"/>
      <c r="AD1544" s="1222"/>
      <c r="AE1544" s="1222"/>
    </row>
    <row r="1545" spans="1:32" ht="52.8">
      <c r="A1545" s="1062"/>
      <c r="B1545" s="991" t="s">
        <v>48</v>
      </c>
      <c r="C1545" s="1074" t="s">
        <v>125</v>
      </c>
      <c r="D1545" s="1073" t="s">
        <v>60</v>
      </c>
      <c r="E1545" s="1073"/>
      <c r="F1545" s="1073"/>
      <c r="G1545" s="1073"/>
      <c r="H1545" s="1073" t="s">
        <v>127</v>
      </c>
      <c r="I1545" s="1090" t="s">
        <v>34</v>
      </c>
      <c r="J1545" s="1097" t="s">
        <v>2143</v>
      </c>
      <c r="K1545" s="1108"/>
      <c r="L1545" s="1119" t="s">
        <v>125</v>
      </c>
      <c r="M1545" s="1119"/>
      <c r="N1545" s="1119"/>
      <c r="O1545" s="1119" t="s">
        <v>125</v>
      </c>
      <c r="P1545" s="1152" t="s">
        <v>125</v>
      </c>
      <c r="Q1545" s="1152" t="s">
        <v>125</v>
      </c>
      <c r="R1545" s="1175">
        <v>449000</v>
      </c>
      <c r="S1545" s="1119" t="s">
        <v>1663</v>
      </c>
      <c r="T1545" s="1119" t="s">
        <v>36</v>
      </c>
      <c r="U1545" s="1119">
        <v>43700</v>
      </c>
      <c r="V1545" s="1119"/>
      <c r="W1545" s="1090" t="s">
        <v>834</v>
      </c>
      <c r="X1545" s="1222"/>
      <c r="Y1545" s="1222"/>
      <c r="Z1545" s="1222"/>
      <c r="AA1545" s="1222"/>
      <c r="AB1545" s="1222"/>
      <c r="AC1545" s="1222"/>
      <c r="AD1545" s="1222"/>
      <c r="AE1545" s="1222"/>
    </row>
    <row r="1546" spans="1:32" ht="52.8">
      <c r="A1546" s="1062"/>
      <c r="B1546" s="991" t="s">
        <v>48</v>
      </c>
      <c r="C1546" s="1074" t="s">
        <v>2153</v>
      </c>
      <c r="D1546" s="1073" t="s">
        <v>60</v>
      </c>
      <c r="E1546" s="1073"/>
      <c r="F1546" s="1073"/>
      <c r="G1546" s="1073"/>
      <c r="H1546" s="1073" t="s">
        <v>127</v>
      </c>
      <c r="I1546" s="1090" t="s">
        <v>34</v>
      </c>
      <c r="J1546" s="1096" t="s">
        <v>2154</v>
      </c>
      <c r="K1546" s="1107"/>
      <c r="L1546" s="1119" t="s">
        <v>35</v>
      </c>
      <c r="M1546" s="1119"/>
      <c r="N1546" s="1119"/>
      <c r="O1546" s="1119" t="s">
        <v>35</v>
      </c>
      <c r="P1546" s="1154" t="s">
        <v>125</v>
      </c>
      <c r="Q1546" s="1154" t="s">
        <v>125</v>
      </c>
      <c r="R1546" s="1179">
        <v>270000</v>
      </c>
      <c r="S1546" s="1154" t="s">
        <v>163</v>
      </c>
      <c r="T1546" s="1154" t="s">
        <v>36</v>
      </c>
      <c r="U1546" s="1121">
        <v>43700</v>
      </c>
      <c r="V1546" s="1121"/>
      <c r="W1546" s="1090" t="s">
        <v>130</v>
      </c>
      <c r="X1546" s="1222"/>
      <c r="Y1546" s="1222"/>
      <c r="Z1546" s="1222"/>
      <c r="AA1546" s="1222"/>
      <c r="AB1546" s="1222"/>
      <c r="AC1546" s="1222"/>
      <c r="AD1546" s="1222"/>
      <c r="AE1546" s="1222"/>
    </row>
    <row r="1547" spans="1:32" ht="179.4">
      <c r="A1547" s="882"/>
      <c r="B1547" s="967" t="s">
        <v>48</v>
      </c>
      <c r="C1547" s="967" t="s">
        <v>125</v>
      </c>
      <c r="D1547" s="965" t="s">
        <v>991</v>
      </c>
      <c r="E1547" s="965"/>
      <c r="F1547" s="965"/>
      <c r="G1547" s="965"/>
      <c r="H1547" s="965" t="s">
        <v>127</v>
      </c>
      <c r="I1547" s="623" t="s">
        <v>34</v>
      </c>
      <c r="J1547" s="1101" t="s">
        <v>4436</v>
      </c>
      <c r="K1547" s="967"/>
      <c r="L1547" s="965">
        <v>12</v>
      </c>
      <c r="M1547" s="977"/>
      <c r="N1547" s="979" t="s">
        <v>125</v>
      </c>
      <c r="O1547" s="980" t="s">
        <v>125</v>
      </c>
      <c r="P1547" s="981">
        <v>24</v>
      </c>
      <c r="Q1547" s="981">
        <v>24</v>
      </c>
      <c r="R1547" s="703" t="s">
        <v>125</v>
      </c>
      <c r="S1547" s="880" t="s">
        <v>98</v>
      </c>
      <c r="T1547" s="880" t="s">
        <v>100</v>
      </c>
      <c r="U1547" s="880" t="s">
        <v>100</v>
      </c>
      <c r="V1547" s="880"/>
      <c r="W1547" s="965" t="s">
        <v>485</v>
      </c>
      <c r="X1547" s="965" t="s">
        <v>58</v>
      </c>
      <c r="Y1547" s="973" t="s">
        <v>39</v>
      </c>
      <c r="Z1547" s="987" t="s">
        <v>95</v>
      </c>
      <c r="AA1547" s="968" t="s">
        <v>41</v>
      </c>
      <c r="AB1547" s="988">
        <v>44903</v>
      </c>
      <c r="AC1547" s="989" t="s">
        <v>4437</v>
      </c>
      <c r="AD1547" s="945"/>
      <c r="AE1547" s="1258"/>
      <c r="AF1547" s="691"/>
    </row>
    <row r="1548" spans="1:32" ht="262.2">
      <c r="A1548" s="882">
        <v>44841</v>
      </c>
      <c r="B1548" s="968" t="s">
        <v>48</v>
      </c>
      <c r="C1548" s="945"/>
      <c r="D1548" s="951" t="s">
        <v>29</v>
      </c>
      <c r="E1548" s="965" t="s">
        <v>30</v>
      </c>
      <c r="F1548" s="951" t="s">
        <v>31</v>
      </c>
      <c r="G1548" s="951" t="s">
        <v>32</v>
      </c>
      <c r="H1548" s="623" t="s">
        <v>176</v>
      </c>
      <c r="I1548" s="623" t="s">
        <v>34</v>
      </c>
      <c r="J1548" s="1056" t="s">
        <v>4438</v>
      </c>
      <c r="K1548" s="623" t="s">
        <v>4439</v>
      </c>
      <c r="L1548" s="623"/>
      <c r="M1548" s="976"/>
      <c r="N1548" s="880"/>
      <c r="O1548" s="978" t="s">
        <v>35</v>
      </c>
      <c r="P1548" s="945"/>
      <c r="Q1548" s="982"/>
      <c r="R1548" s="703" t="s">
        <v>35</v>
      </c>
      <c r="S1548" s="951" t="s">
        <v>129</v>
      </c>
      <c r="T1548" s="985" t="s">
        <v>35</v>
      </c>
      <c r="U1548" s="986" t="s">
        <v>35</v>
      </c>
      <c r="V1548" s="986"/>
      <c r="W1548" s="623" t="s">
        <v>55</v>
      </c>
      <c r="X1548" s="623" t="s">
        <v>58</v>
      </c>
      <c r="Y1548" s="623" t="s">
        <v>39</v>
      </c>
      <c r="Z1548" s="623"/>
      <c r="AA1548" s="623" t="s">
        <v>41</v>
      </c>
      <c r="AB1548" s="988">
        <v>44973</v>
      </c>
      <c r="AC1548" s="975" t="s">
        <v>4440</v>
      </c>
      <c r="AD1548" s="623"/>
      <c r="AE1548" s="990"/>
      <c r="AF1548" s="691"/>
    </row>
    <row r="1549" spans="1:32" ht="27.6">
      <c r="A1549" s="1062"/>
      <c r="B1549" s="991" t="s">
        <v>48</v>
      </c>
      <c r="C1549" s="991" t="s">
        <v>43</v>
      </c>
      <c r="D1549" s="1084" t="s">
        <v>29</v>
      </c>
      <c r="E1549" s="1084"/>
      <c r="F1549" s="1084"/>
      <c r="G1549" s="1084"/>
      <c r="H1549" s="1084" t="s">
        <v>165</v>
      </c>
      <c r="I1549" s="995" t="s">
        <v>34</v>
      </c>
      <c r="J1549" s="1104" t="s">
        <v>1492</v>
      </c>
      <c r="K1549" s="995"/>
      <c r="L1549" s="1127">
        <v>42925</v>
      </c>
      <c r="M1549" s="1127"/>
      <c r="N1549" s="1127"/>
      <c r="O1549" s="1149" t="s">
        <v>1493</v>
      </c>
      <c r="P1549" s="1149" t="s">
        <v>1493</v>
      </c>
      <c r="Q1549" s="1149" t="s">
        <v>1493</v>
      </c>
      <c r="R1549" s="1188">
        <v>25000</v>
      </c>
      <c r="S1549" s="1199" t="s">
        <v>1412</v>
      </c>
      <c r="T1549" s="1208" t="s">
        <v>54</v>
      </c>
      <c r="U1549" s="1208"/>
      <c r="V1549" s="1208"/>
      <c r="W1549" s="1217" t="s">
        <v>756</v>
      </c>
      <c r="X1549" s="1222"/>
      <c r="Y1549" s="1222"/>
      <c r="Z1549" s="1222"/>
      <c r="AA1549" s="1222"/>
      <c r="AB1549" s="1222"/>
      <c r="AC1549" s="1222"/>
      <c r="AD1549" s="1222"/>
      <c r="AE1549" s="1222"/>
      <c r="AF1549" s="691"/>
    </row>
    <row r="1550" spans="1:32" ht="28.8">
      <c r="A1550" s="1489"/>
      <c r="B1550" s="429"/>
      <c r="C1550" s="429" t="s">
        <v>1242</v>
      </c>
      <c r="D1550" s="429" t="s">
        <v>29</v>
      </c>
      <c r="E1550" s="429"/>
      <c r="F1550" s="429"/>
      <c r="G1550" s="429"/>
      <c r="H1550" s="1345" t="s">
        <v>364</v>
      </c>
      <c r="I1550" s="1371" t="s">
        <v>1059</v>
      </c>
      <c r="J1550" s="1490" t="s">
        <v>4441</v>
      </c>
      <c r="K1550" s="1490"/>
      <c r="L1550" s="1490"/>
      <c r="M1550" s="1371"/>
      <c r="N1550" s="1371"/>
      <c r="O1550" s="1371"/>
      <c r="P1550" s="1345">
        <v>36</v>
      </c>
      <c r="Q1550" s="1491">
        <v>25500</v>
      </c>
      <c r="R1550" s="1371"/>
      <c r="S1550" s="1371"/>
      <c r="T1550" s="1371" t="s">
        <v>4442</v>
      </c>
      <c r="U1550" s="429"/>
      <c r="V1550" s="429"/>
      <c r="W1550" s="1371"/>
      <c r="X1550" s="1371"/>
      <c r="Y1550" s="276" t="s">
        <v>457</v>
      </c>
      <c r="Z1550" s="276"/>
      <c r="AA1550" s="1490"/>
      <c r="AB1550" s="1346"/>
      <c r="AC1550" s="1346"/>
      <c r="AD1550" s="1346"/>
      <c r="AE1550" s="1371"/>
      <c r="AF1550" s="691"/>
    </row>
    <row r="1551" spans="1:32" ht="28.8">
      <c r="A1551" s="1489"/>
      <c r="B1551" s="429"/>
      <c r="C1551" s="429" t="s">
        <v>4443</v>
      </c>
      <c r="D1551" s="1346" t="s">
        <v>29</v>
      </c>
      <c r="E1551" s="1346"/>
      <c r="F1551" s="1346"/>
      <c r="G1551" s="1346"/>
      <c r="H1551" s="1492" t="s">
        <v>364</v>
      </c>
      <c r="I1551" s="1493" t="s">
        <v>34</v>
      </c>
      <c r="J1551" s="1494" t="s">
        <v>4444</v>
      </c>
      <c r="K1551" s="1494"/>
      <c r="L1551" s="1494"/>
      <c r="M1551" s="1345"/>
      <c r="N1551" s="1345"/>
      <c r="O1551" s="1345"/>
      <c r="P1551" s="1345"/>
      <c r="Q1551" s="1334" t="s">
        <v>100</v>
      </c>
      <c r="R1551" s="1180">
        <v>950000</v>
      </c>
      <c r="S1551" s="1334" t="s">
        <v>98</v>
      </c>
      <c r="T1551" s="1345" t="s">
        <v>54</v>
      </c>
      <c r="U1551" s="429"/>
      <c r="V1551" s="429"/>
      <c r="W1551" s="1345" t="s">
        <v>2673</v>
      </c>
      <c r="X1551" s="1334" t="s">
        <v>1053</v>
      </c>
      <c r="Y1551" s="276" t="s">
        <v>457</v>
      </c>
      <c r="Z1551" s="276"/>
      <c r="AA1551" s="1346"/>
      <c r="AB1551" s="1236" t="s">
        <v>3429</v>
      </c>
      <c r="AC1551" s="1495" t="s">
        <v>4445</v>
      </c>
      <c r="AD1551" s="429"/>
      <c r="AE1551" s="1496"/>
      <c r="AF1551" s="691"/>
    </row>
    <row r="1552" spans="1:32" ht="55.2">
      <c r="A1552" s="1062"/>
      <c r="B1552" s="991" t="s">
        <v>48</v>
      </c>
      <c r="C1552" s="1077" t="s">
        <v>43</v>
      </c>
      <c r="D1552" s="1084" t="s">
        <v>60</v>
      </c>
      <c r="E1552" s="1084"/>
      <c r="F1552" s="1084"/>
      <c r="G1552" s="1084"/>
      <c r="H1552" s="1084" t="s">
        <v>127</v>
      </c>
      <c r="I1552" s="995" t="s">
        <v>34</v>
      </c>
      <c r="J1552" s="1104" t="s">
        <v>1414</v>
      </c>
      <c r="K1552" s="995"/>
      <c r="L1552" s="1127">
        <v>42863</v>
      </c>
      <c r="M1552" s="1127"/>
      <c r="N1552" s="1127"/>
      <c r="O1552" s="1127"/>
      <c r="P1552" s="1149">
        <v>0</v>
      </c>
      <c r="Q1552" s="1149">
        <v>0</v>
      </c>
      <c r="R1552" s="1188">
        <v>20000</v>
      </c>
      <c r="S1552" s="1199" t="s">
        <v>1412</v>
      </c>
      <c r="T1552" s="1208" t="s">
        <v>54</v>
      </c>
      <c r="U1552" s="1208"/>
      <c r="V1552" s="1208"/>
      <c r="W1552" s="1217" t="s">
        <v>255</v>
      </c>
      <c r="X1552" s="1222"/>
      <c r="Y1552" s="1222"/>
      <c r="Z1552" s="1222"/>
      <c r="AA1552" s="1222"/>
      <c r="AB1552" s="1222"/>
      <c r="AC1552" s="1222"/>
      <c r="AD1552" s="1222"/>
      <c r="AE1552" s="1222"/>
      <c r="AF1552" s="691"/>
    </row>
    <row r="1553" spans="1:51" ht="55.2">
      <c r="A1553" s="1062"/>
      <c r="B1553" s="991" t="s">
        <v>48</v>
      </c>
      <c r="C1553" s="1077"/>
      <c r="D1553" s="1084"/>
      <c r="E1553" s="1084"/>
      <c r="F1553" s="1084"/>
      <c r="G1553" s="1084"/>
      <c r="H1553" s="1084" t="s">
        <v>127</v>
      </c>
      <c r="I1553" s="995" t="s">
        <v>34</v>
      </c>
      <c r="J1553" s="1104" t="s">
        <v>1472</v>
      </c>
      <c r="K1553" s="995"/>
      <c r="L1553" s="1127">
        <v>42930</v>
      </c>
      <c r="M1553" s="1127"/>
      <c r="N1553" s="1127"/>
      <c r="O1553" s="1127"/>
      <c r="P1553" s="1149"/>
      <c r="Q1553" s="1149"/>
      <c r="R1553" s="1188">
        <v>40000</v>
      </c>
      <c r="S1553" s="1199"/>
      <c r="T1553" s="1208"/>
      <c r="U1553" s="1208"/>
      <c r="V1553" s="1208"/>
      <c r="W1553" s="1217" t="s">
        <v>1473</v>
      </c>
      <c r="X1553" s="1222"/>
      <c r="Y1553" s="1222"/>
      <c r="Z1553" s="1222"/>
      <c r="AA1553" s="1222"/>
      <c r="AB1553" s="1222"/>
      <c r="AC1553" s="1222"/>
      <c r="AD1553" s="1222"/>
      <c r="AE1553" s="1222"/>
      <c r="AF1553" s="691"/>
    </row>
    <row r="1554" spans="1:51" ht="69">
      <c r="A1554" s="1062"/>
      <c r="B1554" s="991" t="s">
        <v>48</v>
      </c>
      <c r="C1554" s="991" t="s">
        <v>1610</v>
      </c>
      <c r="D1554" s="1084" t="s">
        <v>29</v>
      </c>
      <c r="E1554" s="1084"/>
      <c r="F1554" s="1084"/>
      <c r="G1554" s="1084"/>
      <c r="H1554" s="1084" t="s">
        <v>49</v>
      </c>
      <c r="I1554" s="995" t="s">
        <v>34</v>
      </c>
      <c r="J1554" s="1104" t="s">
        <v>1611</v>
      </c>
      <c r="K1554" s="995"/>
      <c r="L1554" s="1128">
        <v>43277</v>
      </c>
      <c r="M1554" s="1128"/>
      <c r="N1554" s="1128"/>
      <c r="O1554" s="1127"/>
      <c r="P1554" s="1149" t="s">
        <v>125</v>
      </c>
      <c r="Q1554" s="1149" t="s">
        <v>125</v>
      </c>
      <c r="R1554" s="1188">
        <v>63000</v>
      </c>
      <c r="S1554" s="1199" t="s">
        <v>1466</v>
      </c>
      <c r="T1554" s="1208" t="s">
        <v>54</v>
      </c>
      <c r="U1554" s="1208"/>
      <c r="V1554" s="1208"/>
      <c r="W1554" s="1217" t="s">
        <v>406</v>
      </c>
      <c r="X1554" s="1222"/>
      <c r="Y1554" s="1222"/>
      <c r="Z1554" s="1222"/>
      <c r="AA1554" s="1222"/>
      <c r="AB1554" s="1222"/>
      <c r="AC1554" s="1222"/>
      <c r="AD1554" s="1222"/>
      <c r="AE1554" s="1222"/>
      <c r="AF1554" s="691"/>
    </row>
    <row r="1555" spans="1:51" ht="39.6">
      <c r="A1555" s="1062"/>
      <c r="B1555" s="991" t="s">
        <v>48</v>
      </c>
      <c r="C1555" s="1080" t="s">
        <v>1743</v>
      </c>
      <c r="D1555" s="1073" t="s">
        <v>60</v>
      </c>
      <c r="E1555" s="1073"/>
      <c r="F1555" s="1073"/>
      <c r="G1555" s="1073"/>
      <c r="H1555" s="1073" t="s">
        <v>49</v>
      </c>
      <c r="I1555" s="1090" t="s">
        <v>34</v>
      </c>
      <c r="J1555" s="1096" t="s">
        <v>1744</v>
      </c>
      <c r="K1555" s="1107"/>
      <c r="L1555" s="1129"/>
      <c r="M1555" s="1129"/>
      <c r="N1555" s="1129"/>
      <c r="O1555" s="1138"/>
      <c r="P1555" s="1152"/>
      <c r="Q1555" s="1152"/>
      <c r="R1555" s="1178"/>
      <c r="S1555" s="1198"/>
      <c r="T1555" s="1119"/>
      <c r="U1555" s="1119"/>
      <c r="V1555" s="1119"/>
      <c r="W1555" s="1073"/>
      <c r="X1555" s="1222"/>
      <c r="Y1555" s="1222"/>
      <c r="Z1555" s="1222"/>
      <c r="AA1555" s="1222"/>
      <c r="AB1555" s="1222"/>
      <c r="AC1555" s="1222"/>
      <c r="AD1555" s="1222"/>
      <c r="AE1555" s="1222"/>
      <c r="AF1555" s="691"/>
    </row>
    <row r="1556" spans="1:51" ht="39.6">
      <c r="A1556" s="1062"/>
      <c r="B1556" s="991" t="s">
        <v>48</v>
      </c>
      <c r="C1556" s="1080" t="s">
        <v>1743</v>
      </c>
      <c r="D1556" s="1073" t="s">
        <v>60</v>
      </c>
      <c r="E1556" s="1073"/>
      <c r="F1556" s="1073"/>
      <c r="G1556" s="1073"/>
      <c r="H1556" s="1073" t="s">
        <v>49</v>
      </c>
      <c r="I1556" s="1090" t="s">
        <v>34</v>
      </c>
      <c r="J1556" s="1096" t="s">
        <v>1745</v>
      </c>
      <c r="K1556" s="1107"/>
      <c r="L1556" s="1129"/>
      <c r="M1556" s="1129"/>
      <c r="N1556" s="1129"/>
      <c r="O1556" s="1138"/>
      <c r="P1556" s="1152"/>
      <c r="Q1556" s="1152"/>
      <c r="R1556" s="1178"/>
      <c r="S1556" s="1198"/>
      <c r="T1556" s="1119"/>
      <c r="U1556" s="1119"/>
      <c r="V1556" s="1119"/>
      <c r="W1556" s="1073"/>
      <c r="X1556" s="1222"/>
      <c r="Y1556" s="1222"/>
      <c r="Z1556" s="1222"/>
      <c r="AA1556" s="1222"/>
      <c r="AB1556" s="1222"/>
      <c r="AC1556" s="1222"/>
      <c r="AD1556" s="1222"/>
      <c r="AE1556" s="1222"/>
      <c r="AF1556" s="691"/>
    </row>
    <row r="1557" spans="1:51" s="1057" customFormat="1" ht="26.4">
      <c r="A1557" s="902"/>
      <c r="B1557" s="1069" t="s">
        <v>48</v>
      </c>
      <c r="C1557" s="1081" t="s">
        <v>125</v>
      </c>
      <c r="D1557" s="1262" t="s">
        <v>29</v>
      </c>
      <c r="E1557" s="609"/>
      <c r="F1557" s="1073"/>
      <c r="G1557" s="605"/>
      <c r="H1557" s="481" t="s">
        <v>2129</v>
      </c>
      <c r="I1557" s="605" t="s">
        <v>204</v>
      </c>
      <c r="J1557" s="1270" t="s">
        <v>2130</v>
      </c>
      <c r="K1557" s="1274"/>
      <c r="L1557" s="1279">
        <v>44075</v>
      </c>
      <c r="M1557" s="1284"/>
      <c r="N1557" s="1279"/>
      <c r="O1557" s="607"/>
      <c r="P1557" s="607"/>
      <c r="Q1557" s="607"/>
      <c r="R1557" s="607"/>
      <c r="S1557" s="607" t="s">
        <v>98</v>
      </c>
      <c r="T1557" s="617"/>
      <c r="U1557" s="617"/>
      <c r="V1557" s="1325"/>
      <c r="W1557" s="1118" t="s">
        <v>493</v>
      </c>
      <c r="X1557" s="823"/>
      <c r="Y1557" s="823"/>
      <c r="Z1557" s="297"/>
      <c r="AA1557" s="1224"/>
      <c r="AB1557" s="1237"/>
      <c r="AC1557" s="297"/>
      <c r="AD1557" s="1131"/>
      <c r="AE1557" s="297"/>
      <c r="AF1557" s="691"/>
      <c r="AG1557" s="691"/>
      <c r="AH1557" s="691"/>
      <c r="AI1557" s="691"/>
      <c r="AJ1557" s="691"/>
      <c r="AK1557" s="691"/>
      <c r="AL1557" s="691"/>
      <c r="AM1557" s="691"/>
      <c r="AN1557" s="691"/>
      <c r="AO1557" s="691"/>
      <c r="AP1557" s="691"/>
      <c r="AQ1557" s="691"/>
      <c r="AR1557" s="691"/>
      <c r="AS1557" s="691"/>
      <c r="AT1557" s="691"/>
      <c r="AU1557" s="691"/>
      <c r="AV1557" s="691"/>
      <c r="AW1557" s="691"/>
      <c r="AX1557" s="691"/>
      <c r="AY1557" s="691"/>
    </row>
    <row r="1558" spans="1:51" s="691" customFormat="1" ht="289.8">
      <c r="A1558" s="920">
        <v>44858</v>
      </c>
      <c r="B1558" s="668" t="s">
        <v>28</v>
      </c>
      <c r="C1558" s="968"/>
      <c r="D1558" s="883" t="s">
        <v>105</v>
      </c>
      <c r="E1558" s="632"/>
      <c r="F1558" s="926"/>
      <c r="G1558" s="697"/>
      <c r="H1558" s="883"/>
      <c r="I1558" s="955" t="s">
        <v>153</v>
      </c>
      <c r="J1558" s="1055" t="s">
        <v>34</v>
      </c>
      <c r="K1558" s="1058" t="s">
        <v>106</v>
      </c>
      <c r="L1558" s="1278" t="s">
        <v>107</v>
      </c>
      <c r="M1558" s="884"/>
      <c r="N1558" s="922">
        <v>44858</v>
      </c>
      <c r="O1558" s="1018"/>
      <c r="P1558" s="922">
        <v>44942</v>
      </c>
      <c r="Q1558" s="952">
        <v>12</v>
      </c>
      <c r="R1558" s="667" t="s">
        <v>108</v>
      </c>
      <c r="S1558" s="1203">
        <v>67500</v>
      </c>
      <c r="T1558" s="632" t="s">
        <v>109</v>
      </c>
      <c r="U1558" s="960" t="s">
        <v>110</v>
      </c>
      <c r="V1558" s="960"/>
      <c r="W1558" s="958" t="s">
        <v>4446</v>
      </c>
      <c r="X1558" s="632" t="s">
        <v>1256</v>
      </c>
      <c r="Y1558" s="884" t="s">
        <v>38</v>
      </c>
      <c r="Z1558" s="632" t="s">
        <v>457</v>
      </c>
      <c r="AA1558" s="960"/>
      <c r="AB1558" s="624"/>
      <c r="AC1558" s="1312">
        <v>44949</v>
      </c>
      <c r="AD1558" s="1249" t="s">
        <v>4447</v>
      </c>
      <c r="AE1558" s="632" t="s">
        <v>101</v>
      </c>
    </row>
    <row r="1559" spans="1:51" s="1057" customFormat="1" ht="151.80000000000001">
      <c r="A1559" s="925">
        <v>44908</v>
      </c>
      <c r="B1559" s="621" t="s">
        <v>48</v>
      </c>
      <c r="C1559" s="622" t="s">
        <v>35</v>
      </c>
      <c r="D1559" s="623" t="s">
        <v>223</v>
      </c>
      <c r="E1559" s="632"/>
      <c r="F1559" s="623"/>
      <c r="G1559" s="697"/>
      <c r="H1559" s="624"/>
      <c r="I1559" s="632" t="s">
        <v>49</v>
      </c>
      <c r="J1559" s="1051" t="s">
        <v>34</v>
      </c>
      <c r="K1559" s="972" t="s">
        <v>4448</v>
      </c>
      <c r="L1559" s="297"/>
      <c r="M1559" s="1131"/>
      <c r="N1559" s="297"/>
      <c r="O1559" s="297"/>
      <c r="P1559" s="297"/>
      <c r="Q1559" s="297"/>
      <c r="R1559" s="297"/>
      <c r="S1559" s="297"/>
      <c r="T1559" s="297"/>
      <c r="U1559" s="297"/>
      <c r="V1559" s="1213"/>
      <c r="W1559" s="657" t="s">
        <v>125</v>
      </c>
      <c r="X1559" s="632" t="s">
        <v>345</v>
      </c>
      <c r="Y1559" s="632" t="s">
        <v>35</v>
      </c>
      <c r="Z1559" s="632" t="s">
        <v>59</v>
      </c>
      <c r="AA1559" s="632" t="s">
        <v>35</v>
      </c>
      <c r="AB1559" s="1235" t="s">
        <v>41</v>
      </c>
      <c r="AC1559" s="992">
        <v>44949</v>
      </c>
      <c r="AD1559" s="1248" t="s">
        <v>4449</v>
      </c>
      <c r="AE1559" s="632"/>
      <c r="AF1559"/>
      <c r="AG1559" s="691"/>
      <c r="AH1559" s="691"/>
      <c r="AI1559" s="691"/>
      <c r="AJ1559" s="691"/>
      <c r="AK1559" s="691"/>
      <c r="AL1559" s="691"/>
      <c r="AM1559" s="691"/>
      <c r="AN1559" s="691"/>
      <c r="AO1559" s="691"/>
      <c r="AP1559" s="691"/>
      <c r="AQ1559" s="691"/>
      <c r="AR1559" s="691"/>
      <c r="AS1559" s="691"/>
      <c r="AT1559" s="691"/>
      <c r="AU1559" s="691"/>
      <c r="AV1559" s="691"/>
      <c r="AW1559" s="691"/>
      <c r="AX1559" s="691"/>
      <c r="AY1559" s="691"/>
    </row>
  </sheetData>
  <autoFilter ref="A1:AR1559" xr:uid="{45C5380C-721F-4005-BF58-47D2A4E39CF8}"/>
  <conditionalFormatting sqref="Q2:R2 T2 D755:H755 D868:H868 H521:H523 H538 H550:H551 H554 H562 H570 H721 D734:H734 D102:K102 D155:K155 D170:K170 D257:K258 D317:K317 D346:K346 H581:L581 H585:L585 H885:L887 D376:L381 D440:K442 D447:K447 D449:K450 D461:K461 H509:I509 H514:I514 H529:I529 H531:I534 H536:N536 H547:I547 H586:N586 H612:L612 D776:L776 D2:O2 H576:P576 H580:Q580 H605:R605 H611:R611 H739:P739 D807:R807 D809:R810 D856:R856 D888:R888 D477:R477 D479:R479 H506:R506 H510:R510 H511:Q512 H518:R519 H525:Q525 H530:R530 H539:R539 H540:Q540 H541:O541 H545:Q545 H535:R535 H537:R537 H542:R542 H556:R556 H565:P568 H577:R577 H583:P584 H588:P588 H633:R633 H634:P634 D729:R729 D735:O735 H733:P733 H743:R744 D769:O769 D770:R770 D777:R777 H790:P790 D793:R793 D795:R795 D838:R838 O102:R102 O155:R155 O170:R170 O257:O258 O305 O317:R317 O346:R346 H508:R508 M509:Q509 M514:Q514 M521:O521 H778:P778 S376:Z381 S440:Z441 S442:W442 S447:Z447 S449:Z450 S461:Z461 W466:Z466 W536">
    <cfRule type="cellIs" dxfId="733" priority="795" operator="equal">
      <formula>"Quotation"</formula>
    </cfRule>
  </conditionalFormatting>
  <conditionalFormatting sqref="D26:G26 R26">
    <cfRule type="cellIs" dxfId="732" priority="794" operator="equal">
      <formula>"Quotation"</formula>
    </cfRule>
  </conditionalFormatting>
  <conditionalFormatting sqref="AE69">
    <cfRule type="cellIs" dxfId="731" priority="791" operator="equal">
      <formula>"Low Impact"</formula>
    </cfRule>
    <cfRule type="cellIs" dxfId="730" priority="792" operator="equal">
      <formula>"Medium Impact"</formula>
    </cfRule>
    <cfRule type="cellIs" dxfId="729" priority="793" operator="equal">
      <formula>"High Impact"</formula>
    </cfRule>
  </conditionalFormatting>
  <conditionalFormatting sqref="N101">
    <cfRule type="cellIs" dxfId="728" priority="788" operator="between">
      <formula>TODAY()+1</formula>
      <formula>TODAY()+120</formula>
    </cfRule>
    <cfRule type="cellIs" dxfId="727" priority="789" operator="between">
      <formula>TODAY()+120</formula>
      <formula>TODAY()+5000</formula>
    </cfRule>
    <cfRule type="cellIs" dxfId="726" priority="790" operator="between">
      <formula>TODAY()</formula>
      <formula>TODAY()-5000</formula>
    </cfRule>
  </conditionalFormatting>
  <conditionalFormatting sqref="T102:V102">
    <cfRule type="cellIs" dxfId="725" priority="787" operator="equal">
      <formula>"Quotation"</formula>
    </cfRule>
  </conditionalFormatting>
  <conditionalFormatting sqref="N102">
    <cfRule type="cellIs" dxfId="724" priority="784" operator="between">
      <formula>TODAY()+1</formula>
      <formula>TODAY()+120</formula>
    </cfRule>
    <cfRule type="cellIs" dxfId="723" priority="785" operator="between">
      <formula>TODAY()+120</formula>
      <formula>TODAY()+5000</formula>
    </cfRule>
    <cfRule type="cellIs" dxfId="722" priority="786" operator="between">
      <formula>TODAY()</formula>
      <formula>TODAY()-5000</formula>
    </cfRule>
  </conditionalFormatting>
  <conditionalFormatting sqref="N103">
    <cfRule type="cellIs" dxfId="721" priority="781" operator="between">
      <formula>TODAY()+1</formula>
      <formula>TODAY()+120</formula>
    </cfRule>
    <cfRule type="cellIs" dxfId="720" priority="782" operator="between">
      <formula>TODAY()+120</formula>
      <formula>TODAY()+5000</formula>
    </cfRule>
    <cfRule type="cellIs" dxfId="719" priority="783" operator="between">
      <formula>TODAY()</formula>
      <formula>TODAY()-5000</formula>
    </cfRule>
  </conditionalFormatting>
  <conditionalFormatting sqref="N104">
    <cfRule type="cellIs" dxfId="718" priority="778" operator="between">
      <formula>TODAY()+1</formula>
      <formula>TODAY()+120</formula>
    </cfRule>
    <cfRule type="cellIs" dxfId="717" priority="779" operator="between">
      <formula>TODAY()+120</formula>
      <formula>TODAY()+5000</formula>
    </cfRule>
    <cfRule type="cellIs" dxfId="716" priority="780" operator="between">
      <formula>TODAY()</formula>
      <formula>TODAY()-5000</formula>
    </cfRule>
  </conditionalFormatting>
  <conditionalFormatting sqref="N105">
    <cfRule type="cellIs" dxfId="715" priority="775" operator="between">
      <formula>TODAY()+1</formula>
      <formula>TODAY()+120</formula>
    </cfRule>
    <cfRule type="cellIs" dxfId="714" priority="776" operator="between">
      <formula>TODAY()+120</formula>
      <formula>TODAY()+5000</formula>
    </cfRule>
    <cfRule type="cellIs" dxfId="713" priority="777" operator="between">
      <formula>TODAY()</formula>
      <formula>TODAY()-5000</formula>
    </cfRule>
  </conditionalFormatting>
  <conditionalFormatting sqref="N106">
    <cfRule type="cellIs" dxfId="712" priority="772" operator="between">
      <formula>TODAY()+1</formula>
      <formula>TODAY()+120</formula>
    </cfRule>
    <cfRule type="cellIs" dxfId="711" priority="773" operator="between">
      <formula>TODAY()+120</formula>
      <formula>TODAY()+5000</formula>
    </cfRule>
    <cfRule type="cellIs" dxfId="710" priority="774" operator="between">
      <formula>TODAY()</formula>
      <formula>TODAY()-5000</formula>
    </cfRule>
  </conditionalFormatting>
  <conditionalFormatting sqref="N107">
    <cfRule type="cellIs" dxfId="709" priority="769" operator="between">
      <formula>TODAY()+1</formula>
      <formula>TODAY()+120</formula>
    </cfRule>
    <cfRule type="cellIs" dxfId="708" priority="770" operator="between">
      <formula>TODAY()+120</formula>
      <formula>TODAY()+5000</formula>
    </cfRule>
    <cfRule type="cellIs" dxfId="707" priority="771" operator="between">
      <formula>TODAY()</formula>
      <formula>TODAY()-5000</formula>
    </cfRule>
  </conditionalFormatting>
  <conditionalFormatting sqref="N108">
    <cfRule type="cellIs" dxfId="706" priority="766" operator="between">
      <formula>TODAY()+1</formula>
      <formula>TODAY()+120</formula>
    </cfRule>
    <cfRule type="cellIs" dxfId="705" priority="767" operator="between">
      <formula>TODAY()+120</formula>
      <formula>TODAY()+5000</formula>
    </cfRule>
    <cfRule type="cellIs" dxfId="704" priority="768" operator="between">
      <formula>TODAY()</formula>
      <formula>TODAY()-5000</formula>
    </cfRule>
  </conditionalFormatting>
  <conditionalFormatting sqref="N109">
    <cfRule type="cellIs" dxfId="703" priority="763" operator="between">
      <formula>TODAY()+1</formula>
      <formula>TODAY()+120</formula>
    </cfRule>
    <cfRule type="cellIs" dxfId="702" priority="764" operator="between">
      <formula>TODAY()+120</formula>
      <formula>TODAY()+5000</formula>
    </cfRule>
    <cfRule type="cellIs" dxfId="701" priority="765" operator="between">
      <formula>TODAY()</formula>
      <formula>TODAY()-5000</formula>
    </cfRule>
  </conditionalFormatting>
  <conditionalFormatting sqref="D112:G112 R112">
    <cfRule type="cellIs" dxfId="700" priority="762" operator="equal">
      <formula>"Quotation"</formula>
    </cfRule>
  </conditionalFormatting>
  <conditionalFormatting sqref="N112">
    <cfRule type="cellIs" dxfId="699" priority="759" operator="between">
      <formula>TODAY()+1</formula>
      <formula>TODAY()+120</formula>
    </cfRule>
    <cfRule type="cellIs" dxfId="698" priority="760" operator="between">
      <formula>TODAY()+120</formula>
      <formula>TODAY()+5000</formula>
    </cfRule>
    <cfRule type="cellIs" dxfId="697" priority="761" operator="between">
      <formula>TODAY()</formula>
      <formula>TODAY()-5000</formula>
    </cfRule>
  </conditionalFormatting>
  <conditionalFormatting sqref="N127">
    <cfRule type="cellIs" dxfId="696" priority="756" operator="between">
      <formula>TODAY()+1</formula>
      <formula>TODAY()+120</formula>
    </cfRule>
    <cfRule type="cellIs" dxfId="695" priority="757" operator="between">
      <formula>TODAY()+120</formula>
      <formula>TODAY()+5000</formula>
    </cfRule>
    <cfRule type="cellIs" dxfId="694" priority="758" operator="between">
      <formula>TODAY()</formula>
      <formula>TODAY()-5000</formula>
    </cfRule>
  </conditionalFormatting>
  <conditionalFormatting sqref="N133">
    <cfRule type="cellIs" dxfId="693" priority="753" operator="between">
      <formula>TODAY()+1</formula>
      <formula>TODAY()+120</formula>
    </cfRule>
    <cfRule type="cellIs" dxfId="692" priority="754" operator="between">
      <formula>TODAY()+120</formula>
      <formula>TODAY()+5000</formula>
    </cfRule>
    <cfRule type="cellIs" dxfId="691" priority="755" operator="between">
      <formula>TODAY()</formula>
      <formula>TODAY()-5000</formula>
    </cfRule>
  </conditionalFormatting>
  <conditionalFormatting sqref="N138">
    <cfRule type="cellIs" dxfId="690" priority="750" operator="between">
      <formula>TODAY()+1</formula>
      <formula>TODAY()+120</formula>
    </cfRule>
    <cfRule type="cellIs" dxfId="689" priority="751" operator="between">
      <formula>TODAY()+120</formula>
      <formula>TODAY()+5000</formula>
    </cfRule>
    <cfRule type="cellIs" dxfId="688" priority="752" operator="between">
      <formula>TODAY()</formula>
      <formula>TODAY()-5000</formula>
    </cfRule>
  </conditionalFormatting>
  <conditionalFormatting sqref="N145">
    <cfRule type="cellIs" dxfId="687" priority="747" operator="between">
      <formula>TODAY()+1</formula>
      <formula>TODAY()+120</formula>
    </cfRule>
    <cfRule type="cellIs" dxfId="686" priority="748" operator="between">
      <formula>TODAY()+120</formula>
      <formula>TODAY()+5000</formula>
    </cfRule>
    <cfRule type="cellIs" dxfId="685" priority="749" operator="between">
      <formula>TODAY()</formula>
      <formula>TODAY()-5000</formula>
    </cfRule>
  </conditionalFormatting>
  <conditionalFormatting sqref="T155:V155">
    <cfRule type="cellIs" dxfId="684" priority="746" operator="equal">
      <formula>"Quotation"</formula>
    </cfRule>
  </conditionalFormatting>
  <conditionalFormatting sqref="N155">
    <cfRule type="cellIs" dxfId="683" priority="743" operator="between">
      <formula>TODAY()+1</formula>
      <formula>TODAY()+120</formula>
    </cfRule>
    <cfRule type="cellIs" dxfId="682" priority="744" operator="between">
      <formula>TODAY()+120</formula>
      <formula>TODAY()+5000</formula>
    </cfRule>
    <cfRule type="cellIs" dxfId="681" priority="745" operator="between">
      <formula>TODAY()</formula>
      <formula>TODAY()-5000</formula>
    </cfRule>
  </conditionalFormatting>
  <conditionalFormatting sqref="R157 D157:G157">
    <cfRule type="cellIs" dxfId="680" priority="742" operator="equal">
      <formula>"Quotation"</formula>
    </cfRule>
  </conditionalFormatting>
  <conditionalFormatting sqref="N157">
    <cfRule type="cellIs" dxfId="679" priority="739" operator="between">
      <formula>TODAY()+1</formula>
      <formula>TODAY()+120</formula>
    </cfRule>
    <cfRule type="cellIs" dxfId="678" priority="740" operator="between">
      <formula>TODAY()+120</formula>
      <formula>TODAY()+5000</formula>
    </cfRule>
    <cfRule type="cellIs" dxfId="677" priority="741" operator="between">
      <formula>TODAY()</formula>
      <formula>TODAY()-5000</formula>
    </cfRule>
  </conditionalFormatting>
  <conditionalFormatting sqref="N164">
    <cfRule type="cellIs" dxfId="676" priority="736" operator="between">
      <formula>TODAY()+1</formula>
      <formula>TODAY()+120</formula>
    </cfRule>
    <cfRule type="cellIs" dxfId="675" priority="737" operator="between">
      <formula>TODAY()+120</formula>
      <formula>TODAY()+5000</formula>
    </cfRule>
    <cfRule type="cellIs" dxfId="674" priority="738" operator="between">
      <formula>TODAY()</formula>
      <formula>TODAY()-5000</formula>
    </cfRule>
  </conditionalFormatting>
  <conditionalFormatting sqref="N165">
    <cfRule type="cellIs" dxfId="673" priority="733" operator="between">
      <formula>TODAY()+1</formula>
      <formula>TODAY()+120</formula>
    </cfRule>
    <cfRule type="cellIs" dxfId="672" priority="734" operator="between">
      <formula>TODAY()+120</formula>
      <formula>TODAY()+5000</formula>
    </cfRule>
    <cfRule type="cellIs" dxfId="671" priority="735" operator="between">
      <formula>TODAY()</formula>
      <formula>TODAY()-5000</formula>
    </cfRule>
  </conditionalFormatting>
  <conditionalFormatting sqref="N166">
    <cfRule type="cellIs" dxfId="670" priority="730" operator="between">
      <formula>TODAY()+1</formula>
      <formula>TODAY()+120</formula>
    </cfRule>
    <cfRule type="cellIs" dxfId="669" priority="731" operator="between">
      <formula>TODAY()+120</formula>
      <formula>TODAY()+5000</formula>
    </cfRule>
    <cfRule type="cellIs" dxfId="668" priority="732" operator="between">
      <formula>TODAY()</formula>
      <formula>TODAY()-5000</formula>
    </cfRule>
  </conditionalFormatting>
  <conditionalFormatting sqref="N167">
    <cfRule type="cellIs" dxfId="667" priority="727" operator="between">
      <formula>TODAY()+1</formula>
      <formula>TODAY()+120</formula>
    </cfRule>
    <cfRule type="cellIs" dxfId="666" priority="728" operator="between">
      <formula>TODAY()+120</formula>
      <formula>TODAY()+5000</formula>
    </cfRule>
    <cfRule type="cellIs" dxfId="665" priority="729" operator="between">
      <formula>TODAY()</formula>
      <formula>TODAY()-5000</formula>
    </cfRule>
  </conditionalFormatting>
  <conditionalFormatting sqref="N168">
    <cfRule type="cellIs" dxfId="664" priority="724" operator="between">
      <formula>TODAY()+1</formula>
      <formula>TODAY()+120</formula>
    </cfRule>
    <cfRule type="cellIs" dxfId="663" priority="725" operator="between">
      <formula>TODAY()+120</formula>
      <formula>TODAY()+5000</formula>
    </cfRule>
    <cfRule type="cellIs" dxfId="662" priority="726" operator="between">
      <formula>TODAY()</formula>
      <formula>TODAY()-5000</formula>
    </cfRule>
  </conditionalFormatting>
  <conditionalFormatting sqref="N169">
    <cfRule type="cellIs" dxfId="661" priority="721" operator="between">
      <formula>TODAY()+1</formula>
      <formula>TODAY()+120</formula>
    </cfRule>
    <cfRule type="cellIs" dxfId="660" priority="722" operator="between">
      <formula>TODAY()+120</formula>
      <formula>TODAY()+5000</formula>
    </cfRule>
    <cfRule type="cellIs" dxfId="659" priority="723" operator="between">
      <formula>TODAY()</formula>
      <formula>TODAY()-5000</formula>
    </cfRule>
  </conditionalFormatting>
  <conditionalFormatting sqref="T170:V170">
    <cfRule type="cellIs" dxfId="658" priority="720" operator="equal">
      <formula>"Quotation"</formula>
    </cfRule>
  </conditionalFormatting>
  <conditionalFormatting sqref="N170">
    <cfRule type="cellIs" dxfId="657" priority="717" operator="between">
      <formula>TODAY()+1</formula>
      <formula>TODAY()+120</formula>
    </cfRule>
    <cfRule type="cellIs" dxfId="656" priority="718" operator="between">
      <formula>TODAY()+120</formula>
      <formula>TODAY()+5000</formula>
    </cfRule>
    <cfRule type="cellIs" dxfId="655" priority="719" operator="between">
      <formula>TODAY()</formula>
      <formula>TODAY()-5000</formula>
    </cfRule>
  </conditionalFormatting>
  <conditionalFormatting sqref="N171">
    <cfRule type="cellIs" dxfId="654" priority="714" operator="between">
      <formula>TODAY()+1</formula>
      <formula>TODAY()+120</formula>
    </cfRule>
    <cfRule type="cellIs" dxfId="653" priority="715" operator="between">
      <formula>TODAY()+120</formula>
      <formula>TODAY()+5000</formula>
    </cfRule>
    <cfRule type="cellIs" dxfId="652" priority="716" operator="between">
      <formula>TODAY()</formula>
      <formula>TODAY()-5000</formula>
    </cfRule>
  </conditionalFormatting>
  <conditionalFormatting sqref="N173">
    <cfRule type="cellIs" dxfId="651" priority="711" operator="between">
      <formula>TODAY()+1</formula>
      <formula>TODAY()+120</formula>
    </cfRule>
    <cfRule type="cellIs" dxfId="650" priority="712" operator="between">
      <formula>TODAY()+120</formula>
      <formula>TODAY()+5000</formula>
    </cfRule>
    <cfRule type="cellIs" dxfId="649" priority="713" operator="between">
      <formula>TODAY()</formula>
      <formula>TODAY()-5000</formula>
    </cfRule>
  </conditionalFormatting>
  <conditionalFormatting sqref="N172">
    <cfRule type="cellIs" dxfId="648" priority="708" operator="between">
      <formula>TODAY()+1</formula>
      <formula>TODAY()+120</formula>
    </cfRule>
    <cfRule type="cellIs" dxfId="647" priority="709" operator="between">
      <formula>TODAY()+120</formula>
      <formula>TODAY()+5000</formula>
    </cfRule>
    <cfRule type="cellIs" dxfId="646" priority="710" operator="between">
      <formula>TODAY()</formula>
      <formula>TODAY()-5000</formula>
    </cfRule>
  </conditionalFormatting>
  <conditionalFormatting sqref="N174">
    <cfRule type="cellIs" dxfId="645" priority="705" operator="between">
      <formula>TODAY()+1</formula>
      <formula>TODAY()+120</formula>
    </cfRule>
    <cfRule type="cellIs" dxfId="644" priority="706" operator="between">
      <formula>TODAY()+120</formula>
      <formula>TODAY()+5000</formula>
    </cfRule>
    <cfRule type="cellIs" dxfId="643" priority="707" operator="between">
      <formula>TODAY()</formula>
      <formula>TODAY()-5000</formula>
    </cfRule>
  </conditionalFormatting>
  <conditionalFormatting sqref="N175">
    <cfRule type="cellIs" dxfId="642" priority="702" operator="between">
      <formula>TODAY()+1</formula>
      <formula>TODAY()+120</formula>
    </cfRule>
    <cfRule type="cellIs" dxfId="641" priority="703" operator="between">
      <formula>TODAY()+120</formula>
      <formula>TODAY()+5000</formula>
    </cfRule>
    <cfRule type="cellIs" dxfId="640" priority="704" operator="between">
      <formula>TODAY()</formula>
      <formula>TODAY()-5000</formula>
    </cfRule>
  </conditionalFormatting>
  <conditionalFormatting sqref="N176">
    <cfRule type="cellIs" dxfId="639" priority="699" operator="between">
      <formula>TODAY()+1</formula>
      <formula>TODAY()+120</formula>
    </cfRule>
    <cfRule type="cellIs" dxfId="638" priority="700" operator="between">
      <formula>TODAY()+120</formula>
      <formula>TODAY()+5000</formula>
    </cfRule>
    <cfRule type="cellIs" dxfId="637" priority="701" operator="between">
      <formula>TODAY()</formula>
      <formula>TODAY()-5000</formula>
    </cfRule>
  </conditionalFormatting>
  <conditionalFormatting sqref="N177">
    <cfRule type="cellIs" dxfId="636" priority="696" operator="between">
      <formula>TODAY()+1</formula>
      <formula>TODAY()+120</formula>
    </cfRule>
    <cfRule type="cellIs" dxfId="635" priority="697" operator="between">
      <formula>TODAY()+120</formula>
      <formula>TODAY()+5000</formula>
    </cfRule>
    <cfRule type="cellIs" dxfId="634" priority="698" operator="between">
      <formula>TODAY()</formula>
      <formula>TODAY()-5000</formula>
    </cfRule>
  </conditionalFormatting>
  <conditionalFormatting sqref="N182">
    <cfRule type="cellIs" dxfId="633" priority="693" operator="between">
      <formula>TODAY()+1</formula>
      <formula>TODAY()+120</formula>
    </cfRule>
    <cfRule type="cellIs" dxfId="632" priority="694" operator="between">
      <formula>TODAY()+120</formula>
      <formula>TODAY()+5000</formula>
    </cfRule>
    <cfRule type="cellIs" dxfId="631" priority="695" operator="between">
      <formula>TODAY()</formula>
      <formula>TODAY()-5000</formula>
    </cfRule>
  </conditionalFormatting>
  <conditionalFormatting sqref="N183">
    <cfRule type="cellIs" dxfId="630" priority="690" operator="between">
      <formula>TODAY()+1</formula>
      <formula>TODAY()+120</formula>
    </cfRule>
    <cfRule type="cellIs" dxfId="629" priority="691" operator="between">
      <formula>TODAY()+120</formula>
      <formula>TODAY()+5000</formula>
    </cfRule>
    <cfRule type="cellIs" dxfId="628" priority="692" operator="between">
      <formula>TODAY()</formula>
      <formula>TODAY()-5000</formula>
    </cfRule>
  </conditionalFormatting>
  <conditionalFormatting sqref="N184">
    <cfRule type="cellIs" dxfId="627" priority="687" operator="between">
      <formula>TODAY()+1</formula>
      <formula>TODAY()+120</formula>
    </cfRule>
    <cfRule type="cellIs" dxfId="626" priority="688" operator="between">
      <formula>TODAY()+120</formula>
      <formula>TODAY()+5000</formula>
    </cfRule>
    <cfRule type="cellIs" dxfId="625" priority="689" operator="between">
      <formula>TODAY()</formula>
      <formula>TODAY()-5000</formula>
    </cfRule>
  </conditionalFormatting>
  <conditionalFormatting sqref="N185:N186">
    <cfRule type="cellIs" dxfId="624" priority="684" operator="between">
      <formula>TODAY()+1</formula>
      <formula>TODAY()+120</formula>
    </cfRule>
    <cfRule type="cellIs" dxfId="623" priority="685" operator="between">
      <formula>TODAY()+120</formula>
      <formula>TODAY()+5000</formula>
    </cfRule>
    <cfRule type="cellIs" dxfId="622" priority="686" operator="between">
      <formula>TODAY()</formula>
      <formula>TODAY()-5000</formula>
    </cfRule>
  </conditionalFormatting>
  <conditionalFormatting sqref="D234:G234 R234">
    <cfRule type="cellIs" dxfId="621" priority="683" operator="equal">
      <formula>"Quotation"</formula>
    </cfRule>
  </conditionalFormatting>
  <conditionalFormatting sqref="R235 D235:G235">
    <cfRule type="cellIs" dxfId="620" priority="682" operator="equal">
      <formula>"Quotation"</formula>
    </cfRule>
  </conditionalFormatting>
  <conditionalFormatting sqref="D242:G242 R242">
    <cfRule type="cellIs" dxfId="619" priority="681" operator="equal">
      <formula>"Quotation"</formula>
    </cfRule>
  </conditionalFormatting>
  <conditionalFormatting sqref="R249 D249:G249">
    <cfRule type="cellIs" dxfId="618" priority="680" operator="equal">
      <formula>"Quotation"</formula>
    </cfRule>
  </conditionalFormatting>
  <conditionalFormatting sqref="T249:V249">
    <cfRule type="cellIs" dxfId="617" priority="679" operator="equal">
      <formula>"Quotation"</formula>
    </cfRule>
  </conditionalFormatting>
  <conditionalFormatting sqref="Q257:R257 T257:V257">
    <cfRule type="cellIs" dxfId="616" priority="678" operator="equal">
      <formula>"Quotation"</formula>
    </cfRule>
  </conditionalFormatting>
  <conditionalFormatting sqref="Q258:R258 T258:V258">
    <cfRule type="cellIs" dxfId="615" priority="677" operator="equal">
      <formula>"Quotation"</formula>
    </cfRule>
  </conditionalFormatting>
  <conditionalFormatting sqref="D260:G260 R260">
    <cfRule type="cellIs" dxfId="614" priority="676" operator="equal">
      <formula>"Quotation"</formula>
    </cfRule>
  </conditionalFormatting>
  <conditionalFormatting sqref="D272:G272 R272">
    <cfRule type="cellIs" dxfId="613" priority="675" operator="equal">
      <formula>"Quotation"</formula>
    </cfRule>
  </conditionalFormatting>
  <conditionalFormatting sqref="R284 D284:G284">
    <cfRule type="cellIs" dxfId="612" priority="674" operator="equal">
      <formula>"Quotation"</formula>
    </cfRule>
  </conditionalFormatting>
  <conditionalFormatting sqref="R299 D299:G299">
    <cfRule type="cellIs" dxfId="611" priority="673" operator="equal">
      <formula>"Quotation"</formula>
    </cfRule>
  </conditionalFormatting>
  <conditionalFormatting sqref="T303:V303">
    <cfRule type="cellIs" dxfId="610" priority="672" operator="equal">
      <formula>"Quotation"</formula>
    </cfRule>
  </conditionalFormatting>
  <conditionalFormatting sqref="T305:V305">
    <cfRule type="cellIs" dxfId="609" priority="671" operator="equal">
      <formula>"Quotation"</formula>
    </cfRule>
  </conditionalFormatting>
  <conditionalFormatting sqref="D305:G305">
    <cfRule type="cellIs" dxfId="608" priority="670" operator="equal">
      <formula>"Quotation"</formula>
    </cfRule>
  </conditionalFormatting>
  <conditionalFormatting sqref="R305">
    <cfRule type="cellIs" dxfId="607" priority="669" operator="equal">
      <formula>"Quotation"</formula>
    </cfRule>
  </conditionalFormatting>
  <conditionalFormatting sqref="D314:G314 R314">
    <cfRule type="cellIs" dxfId="606" priority="668" operator="equal">
      <formula>"Quotation"</formula>
    </cfRule>
  </conditionalFormatting>
  <conditionalFormatting sqref="T317:V317">
    <cfRule type="cellIs" dxfId="605" priority="667" operator="equal">
      <formula>"Quotation"</formula>
    </cfRule>
  </conditionalFormatting>
  <conditionalFormatting sqref="T318:V318">
    <cfRule type="cellIs" dxfId="604" priority="666" operator="equal">
      <formula>"Quotation"</formula>
    </cfRule>
  </conditionalFormatting>
  <conditionalFormatting sqref="T338:V338">
    <cfRule type="cellIs" dxfId="603" priority="665" operator="equal">
      <formula>"Quotation"</formula>
    </cfRule>
  </conditionalFormatting>
  <conditionalFormatting sqref="AB343">
    <cfRule type="timePeriod" dxfId="602" priority="664" timePeriod="last7Days">
      <formula>AND(TODAY()-FLOOR(AB343,1)&lt;=6,FLOOR(AB343,1)&lt;=TODAY())</formula>
    </cfRule>
  </conditionalFormatting>
  <conditionalFormatting sqref="AB344">
    <cfRule type="timePeriod" dxfId="601" priority="663" timePeriod="last7Days">
      <formula>AND(TODAY()-FLOOR(AB344,1)&lt;=6,FLOOR(AB344,1)&lt;=TODAY())</formula>
    </cfRule>
  </conditionalFormatting>
  <conditionalFormatting sqref="AB345">
    <cfRule type="timePeriod" dxfId="600" priority="662" timePeriod="last7Days">
      <formula>AND(TODAY()-FLOOR(AB345,1)&lt;=6,FLOOR(AB345,1)&lt;=TODAY())</formula>
    </cfRule>
  </conditionalFormatting>
  <conditionalFormatting sqref="T346:V346">
    <cfRule type="cellIs" dxfId="599" priority="661" operator="equal">
      <formula>"Quotation"</formula>
    </cfRule>
  </conditionalFormatting>
  <conditionalFormatting sqref="AB346">
    <cfRule type="timePeriod" dxfId="598" priority="660" timePeriod="last7Days">
      <formula>AND(TODAY()-FLOOR(AB346,1)&lt;=6,FLOOR(AB346,1)&lt;=TODAY())</formula>
    </cfRule>
  </conditionalFormatting>
  <conditionalFormatting sqref="AB347">
    <cfRule type="timePeriod" dxfId="597" priority="659" timePeriod="last7Days">
      <formula>AND(TODAY()-FLOOR(AB347,1)&lt;=6,FLOOR(AB347,1)&lt;=TODAY())</formula>
    </cfRule>
  </conditionalFormatting>
  <conditionalFormatting sqref="AB348">
    <cfRule type="timePeriod" dxfId="596" priority="658" timePeriod="last7Days">
      <formula>AND(TODAY()-FLOOR(AB348,1)&lt;=6,FLOOR(AB348,1)&lt;=TODAY())</formula>
    </cfRule>
  </conditionalFormatting>
  <conditionalFormatting sqref="AB349">
    <cfRule type="timePeriod" dxfId="595" priority="657" timePeriod="last7Days">
      <formula>AND(TODAY()-FLOOR(AB349,1)&lt;=6,FLOOR(AB349,1)&lt;=TODAY())</formula>
    </cfRule>
  </conditionalFormatting>
  <conditionalFormatting sqref="AB350">
    <cfRule type="timePeriod" dxfId="594" priority="656" timePeriod="last7Days">
      <formula>AND(TODAY()-FLOOR(AB350,1)&lt;=6,FLOOR(AB350,1)&lt;=TODAY())</formula>
    </cfRule>
  </conditionalFormatting>
  <conditionalFormatting sqref="AB351">
    <cfRule type="timePeriod" dxfId="593" priority="655" timePeriod="last7Days">
      <formula>AND(TODAY()-FLOOR(AB351,1)&lt;=6,FLOOR(AB351,1)&lt;=TODAY())</formula>
    </cfRule>
  </conditionalFormatting>
  <conditionalFormatting sqref="AB352">
    <cfRule type="timePeriod" dxfId="592" priority="654" timePeriod="last7Days">
      <formula>AND(TODAY()-FLOOR(AB352,1)&lt;=6,FLOOR(AB352,1)&lt;=TODAY())</formula>
    </cfRule>
  </conditionalFormatting>
  <conditionalFormatting sqref="AB353">
    <cfRule type="timePeriod" dxfId="591" priority="653" timePeriod="last7Days">
      <formula>AND(TODAY()-FLOOR(AB353,1)&lt;=6,FLOOR(AB353,1)&lt;=TODAY())</formula>
    </cfRule>
  </conditionalFormatting>
  <conditionalFormatting sqref="AB354">
    <cfRule type="timePeriod" dxfId="590" priority="652" timePeriod="last7Days">
      <formula>AND(TODAY()-FLOOR(AB354,1)&lt;=6,FLOOR(AB354,1)&lt;=TODAY())</formula>
    </cfRule>
  </conditionalFormatting>
  <conditionalFormatting sqref="AB355">
    <cfRule type="timePeriod" dxfId="589" priority="651" timePeriod="last7Days">
      <formula>AND(TODAY()-FLOOR(AB355,1)&lt;=6,FLOOR(AB355,1)&lt;=TODAY())</formula>
    </cfRule>
  </conditionalFormatting>
  <conditionalFormatting sqref="AB356">
    <cfRule type="timePeriod" dxfId="588" priority="650" timePeriod="last7Days">
      <formula>AND(TODAY()-FLOOR(AB356,1)&lt;=6,FLOOR(AB356,1)&lt;=TODAY())</formula>
    </cfRule>
  </conditionalFormatting>
  <conditionalFormatting sqref="AB357">
    <cfRule type="timePeriod" dxfId="587" priority="649" timePeriod="last7Days">
      <formula>AND(TODAY()-FLOOR(AB357,1)&lt;=6,FLOOR(AB357,1)&lt;=TODAY())</formula>
    </cfRule>
  </conditionalFormatting>
  <conditionalFormatting sqref="AB358">
    <cfRule type="timePeriod" dxfId="586" priority="648" timePeriod="last7Days">
      <formula>AND(TODAY()-FLOOR(AB358,1)&lt;=6,FLOOR(AB358,1)&lt;=TODAY())</formula>
    </cfRule>
  </conditionalFormatting>
  <conditionalFormatting sqref="AB359">
    <cfRule type="timePeriod" dxfId="585" priority="647" timePeriod="last7Days">
      <formula>AND(TODAY()-FLOOR(AB359,1)&lt;=6,FLOOR(AB359,1)&lt;=TODAY())</formula>
    </cfRule>
  </conditionalFormatting>
  <conditionalFormatting sqref="AB360">
    <cfRule type="timePeriod" dxfId="584" priority="646" timePeriod="last7Days">
      <formula>AND(TODAY()-FLOOR(AB360,1)&lt;=6,FLOOR(AB360,1)&lt;=TODAY())</formula>
    </cfRule>
  </conditionalFormatting>
  <conditionalFormatting sqref="R361 D361:G361">
    <cfRule type="cellIs" dxfId="583" priority="645" operator="equal">
      <formula>"Quotation"</formula>
    </cfRule>
  </conditionalFormatting>
  <conditionalFormatting sqref="AB361">
    <cfRule type="timePeriod" dxfId="582" priority="644" timePeriod="last7Days">
      <formula>AND(TODAY()-FLOOR(AB361,1)&lt;=6,FLOOR(AB361,1)&lt;=TODAY())</formula>
    </cfRule>
  </conditionalFormatting>
  <conditionalFormatting sqref="AB362">
    <cfRule type="timePeriod" dxfId="581" priority="643" timePeriod="last7Days">
      <formula>AND(TODAY()-FLOOR(AB362,1)&lt;=6,FLOOR(AB362,1)&lt;=TODAY())</formula>
    </cfRule>
  </conditionalFormatting>
  <conditionalFormatting sqref="AB363">
    <cfRule type="timePeriod" dxfId="580" priority="642" timePeriod="last7Days">
      <formula>AND(TODAY()-FLOOR(AB363,1)&lt;=6,FLOOR(AB363,1)&lt;=TODAY())</formula>
    </cfRule>
  </conditionalFormatting>
  <conditionalFormatting sqref="AB364">
    <cfRule type="timePeriod" dxfId="579" priority="641" timePeriod="last7Days">
      <formula>AND(TODAY()-FLOOR(AB364,1)&lt;=6,FLOOR(AB364,1)&lt;=TODAY())</formula>
    </cfRule>
  </conditionalFormatting>
  <conditionalFormatting sqref="AB365:AB367">
    <cfRule type="timePeriod" dxfId="578" priority="640" timePeriod="last7Days">
      <formula>AND(TODAY()-FLOOR(AB365,1)&lt;=6,FLOOR(AB365,1)&lt;=TODAY())</formula>
    </cfRule>
  </conditionalFormatting>
  <conditionalFormatting sqref="AB368">
    <cfRule type="timePeriod" dxfId="577" priority="639" timePeriod="last7Days">
      <formula>AND(TODAY()-FLOOR(AB368,1)&lt;=6,FLOOR(AB368,1)&lt;=TODAY())</formula>
    </cfRule>
  </conditionalFormatting>
  <conditionalFormatting sqref="AB369">
    <cfRule type="timePeriod" dxfId="576" priority="638" timePeriod="last7Days">
      <formula>AND(TODAY()-FLOOR(AB369,1)&lt;=6,FLOOR(AB369,1)&lt;=TODAY())</formula>
    </cfRule>
  </conditionalFormatting>
  <conditionalFormatting sqref="AB370">
    <cfRule type="timePeriod" dxfId="575" priority="637" timePeriod="last7Days">
      <formula>AND(TODAY()-FLOOR(AB370,1)&lt;=6,FLOOR(AB370,1)&lt;=TODAY())</formula>
    </cfRule>
  </conditionalFormatting>
  <conditionalFormatting sqref="AB371">
    <cfRule type="timePeriod" dxfId="574" priority="636" timePeriod="last7Days">
      <formula>AND(TODAY()-FLOOR(AB371,1)&lt;=6,FLOOR(AB371,1)&lt;=TODAY())</formula>
    </cfRule>
  </conditionalFormatting>
  <conditionalFormatting sqref="AB372">
    <cfRule type="timePeriod" dxfId="573" priority="635" timePeriod="last7Days">
      <formula>AND(TODAY()-FLOOR(AB372,1)&lt;=6,FLOOR(AB372,1)&lt;=TODAY())</formula>
    </cfRule>
  </conditionalFormatting>
  <conditionalFormatting sqref="AB373">
    <cfRule type="timePeriod" dxfId="572" priority="634" timePeriod="last7Days">
      <formula>AND(TODAY()-FLOOR(AB373,1)&lt;=6,FLOOR(AB373,1)&lt;=TODAY())</formula>
    </cfRule>
  </conditionalFormatting>
  <conditionalFormatting sqref="AB374">
    <cfRule type="timePeriod" dxfId="571" priority="633" timePeriod="last7Days">
      <formula>AND(TODAY()-FLOOR(AB374,1)&lt;=6,FLOOR(AB374,1)&lt;=TODAY())</formula>
    </cfRule>
  </conditionalFormatting>
  <conditionalFormatting sqref="AB375">
    <cfRule type="timePeriod" dxfId="570" priority="632" timePeriod="last7Days">
      <formula>AND(TODAY()-FLOOR(AB375,1)&lt;=6,FLOOR(AB375,1)&lt;=TODAY())</formula>
    </cfRule>
  </conditionalFormatting>
  <conditionalFormatting sqref="R576">
    <cfRule type="cellIs" dxfId="569" priority="451" operator="equal">
      <formula>"Quotation"</formula>
    </cfRule>
  </conditionalFormatting>
  <conditionalFormatting sqref="Q576">
    <cfRule type="cellIs" dxfId="568" priority="450" operator="equal">
      <formula>"Quotation"</formula>
    </cfRule>
  </conditionalFormatting>
  <conditionalFormatting sqref="T580">
    <cfRule type="cellIs" dxfId="567" priority="449" operator="equal">
      <formula>"Quotation"</formula>
    </cfRule>
  </conditionalFormatting>
  <conditionalFormatting sqref="R580">
    <cfRule type="cellIs" dxfId="566" priority="448" operator="equal">
      <formula>"Quotation"</formula>
    </cfRule>
  </conditionalFormatting>
  <conditionalFormatting sqref="D580:G580">
    <cfRule type="cellIs" dxfId="565" priority="447" operator="equal">
      <formula>"Quotation"</formula>
    </cfRule>
  </conditionalFormatting>
  <conditionalFormatting sqref="O581:R581">
    <cfRule type="cellIs" dxfId="564" priority="446" operator="equal">
      <formula>"Quotation"</formula>
    </cfRule>
  </conditionalFormatting>
  <conditionalFormatting sqref="D581:G581">
    <cfRule type="cellIs" dxfId="563" priority="445" operator="equal">
      <formula>"Quotation"</formula>
    </cfRule>
  </conditionalFormatting>
  <conditionalFormatting sqref="M581:N581">
    <cfRule type="cellIs" dxfId="562" priority="444" operator="equal">
      <formula>"Quotation"</formula>
    </cfRule>
  </conditionalFormatting>
  <conditionalFormatting sqref="T581">
    <cfRule type="cellIs" dxfId="561" priority="443" operator="equal">
      <formula>"Quotation"</formula>
    </cfRule>
  </conditionalFormatting>
  <conditionalFormatting sqref="Q583">
    <cfRule type="cellIs" dxfId="560" priority="439" operator="equal">
      <formula>"Quotation"</formula>
    </cfRule>
  </conditionalFormatting>
  <conditionalFormatting sqref="D583:G583">
    <cfRule type="cellIs" dxfId="559" priority="438" operator="equal">
      <formula>"Quotation"</formula>
    </cfRule>
  </conditionalFormatting>
  <conditionalFormatting sqref="O585:P585 R585">
    <cfRule type="cellIs" dxfId="558" priority="434" operator="equal">
      <formula>"Quotation"</formula>
    </cfRule>
  </conditionalFormatting>
  <conditionalFormatting sqref="Q585">
    <cfRule type="cellIs" dxfId="557" priority="433" operator="equal">
      <formula>"Quotation"</formula>
    </cfRule>
  </conditionalFormatting>
  <conditionalFormatting sqref="D586:G586">
    <cfRule type="cellIs" dxfId="556" priority="429" operator="equal">
      <formula>"Quotation"</formula>
    </cfRule>
  </conditionalFormatting>
  <conditionalFormatting sqref="D587:G587">
    <cfRule type="cellIs" dxfId="555" priority="428" operator="equal">
      <formula>"Quotation"</formula>
    </cfRule>
  </conditionalFormatting>
  <conditionalFormatting sqref="T605 T611">
    <cfRule type="cellIs" dxfId="554" priority="424" operator="equal">
      <formula>"Quotation"</formula>
    </cfRule>
  </conditionalFormatting>
  <conditionalFormatting sqref="R605">
    <cfRule type="cellIs" dxfId="553" priority="423" operator="equal">
      <formula>"Quotation"</formula>
    </cfRule>
  </conditionalFormatting>
  <conditionalFormatting sqref="D605:G605">
    <cfRule type="cellIs" dxfId="552" priority="422" operator="equal">
      <formula>"Quotation"</formula>
    </cfRule>
  </conditionalFormatting>
  <conditionalFormatting sqref="R610">
    <cfRule type="cellIs" dxfId="551" priority="421" operator="equal">
      <formula>"Quotation"</formula>
    </cfRule>
  </conditionalFormatting>
  <conditionalFormatting sqref="R611">
    <cfRule type="cellIs" dxfId="550" priority="420" operator="equal">
      <formula>"Quotation"</formula>
    </cfRule>
  </conditionalFormatting>
  <conditionalFormatting sqref="D611:G611">
    <cfRule type="cellIs" dxfId="549" priority="419" operator="equal">
      <formula>"Quotation"</formula>
    </cfRule>
  </conditionalFormatting>
  <conditionalFormatting sqref="D612:G612">
    <cfRule type="cellIs" dxfId="548" priority="415" operator="equal">
      <formula>"Quotation"</formula>
    </cfRule>
  </conditionalFormatting>
  <conditionalFormatting sqref="D634:G634 R634">
    <cfRule type="cellIs" dxfId="547" priority="407" operator="equal">
      <formula>"Quotation"</formula>
    </cfRule>
  </conditionalFormatting>
  <conditionalFormatting sqref="D653:G654 R653:R654">
    <cfRule type="cellIs" dxfId="546" priority="403" operator="equal">
      <formula>"Quotation"</formula>
    </cfRule>
  </conditionalFormatting>
  <conditionalFormatting sqref="D674:G674 R674">
    <cfRule type="cellIs" dxfId="545" priority="402" operator="equal">
      <formula>"Quotation"</formula>
    </cfRule>
  </conditionalFormatting>
  <conditionalFormatting sqref="D673:G673 R673">
    <cfRule type="cellIs" dxfId="544" priority="401" operator="equal">
      <formula>"Quotation"</formula>
    </cfRule>
  </conditionalFormatting>
  <conditionalFormatting sqref="D698:G698 R698">
    <cfRule type="cellIs" dxfId="543" priority="400" operator="equal">
      <formula>"Quotation"</formula>
    </cfRule>
  </conditionalFormatting>
  <conditionalFormatting sqref="D697:G697 R697">
    <cfRule type="cellIs" dxfId="542" priority="399" operator="equal">
      <formula>"Quotation"</formula>
    </cfRule>
  </conditionalFormatting>
  <conditionalFormatting sqref="D717:G717 R717">
    <cfRule type="cellIs" dxfId="541" priority="398" operator="equal">
      <formula>"Quotation"</formula>
    </cfRule>
  </conditionalFormatting>
  <conditionalFormatting sqref="D718:G718 R718">
    <cfRule type="cellIs" dxfId="540" priority="397" operator="equal">
      <formula>"Quotation"</formula>
    </cfRule>
  </conditionalFormatting>
  <conditionalFormatting sqref="R721">
    <cfRule type="cellIs" dxfId="539" priority="396" operator="equal">
      <formula>"Quotation"</formula>
    </cfRule>
  </conditionalFormatting>
  <conditionalFormatting sqref="T721">
    <cfRule type="cellIs" dxfId="538" priority="395" operator="equal">
      <formula>"Quotation"</formula>
    </cfRule>
  </conditionalFormatting>
  <conditionalFormatting sqref="R739">
    <cfRule type="cellIs" dxfId="537" priority="381" operator="equal">
      <formula>"Quotation"</formula>
    </cfRule>
  </conditionalFormatting>
  <conditionalFormatting sqref="D743:G744">
    <cfRule type="cellIs" dxfId="536" priority="377" operator="equal">
      <formula>"Quotation"</formula>
    </cfRule>
  </conditionalFormatting>
  <conditionalFormatting sqref="T755 R755">
    <cfRule type="cellIs" dxfId="535" priority="372" operator="equal">
      <formula>"Quotation"</formula>
    </cfRule>
  </conditionalFormatting>
  <conditionalFormatting sqref="D765:G765 R765">
    <cfRule type="cellIs" dxfId="534" priority="371" operator="equal">
      <formula>"Quotation"</formula>
    </cfRule>
  </conditionalFormatting>
  <conditionalFormatting sqref="R768 D768:G768">
    <cfRule type="cellIs" dxfId="533" priority="370" operator="equal">
      <formula>"Quotation"</formula>
    </cfRule>
  </conditionalFormatting>
  <conditionalFormatting sqref="D778:G778">
    <cfRule type="cellIs" dxfId="532" priority="363" operator="equal">
      <formula>"Quotation"</formula>
    </cfRule>
  </conditionalFormatting>
  <conditionalFormatting sqref="D784:G784 R784">
    <cfRule type="cellIs" dxfId="531" priority="362" operator="equal">
      <formula>"Quotation"</formula>
    </cfRule>
  </conditionalFormatting>
  <conditionalFormatting sqref="T790 T793 T795 T807 T809:T810">
    <cfRule type="cellIs" dxfId="530" priority="358" operator="equal">
      <formula>"Quotation"</formula>
    </cfRule>
  </conditionalFormatting>
  <conditionalFormatting sqref="D790:G790">
    <cfRule type="cellIs" dxfId="529" priority="354" operator="equal">
      <formula>"Quotation"</formula>
    </cfRule>
  </conditionalFormatting>
  <conditionalFormatting sqref="D791:G791 R791">
    <cfRule type="cellIs" dxfId="528" priority="353" operator="equal">
      <formula>"Quotation"</formula>
    </cfRule>
  </conditionalFormatting>
  <conditionalFormatting sqref="D827:G827 R827">
    <cfRule type="cellIs" dxfId="527" priority="345" operator="equal">
      <formula>"Quotation"</formula>
    </cfRule>
  </conditionalFormatting>
  <conditionalFormatting sqref="R828">
    <cfRule type="cellIs" dxfId="526" priority="344" operator="equal">
      <formula>"Quotation"</formula>
    </cfRule>
  </conditionalFormatting>
  <conditionalFormatting sqref="D828:G828">
    <cfRule type="cellIs" dxfId="525" priority="343" operator="equal">
      <formula>"Quotation"</formula>
    </cfRule>
  </conditionalFormatting>
  <conditionalFormatting sqref="T838 T856 T888">
    <cfRule type="cellIs" dxfId="524" priority="342" operator="equal">
      <formula>"Quotation"</formula>
    </cfRule>
  </conditionalFormatting>
  <conditionalFormatting sqref="D845:G845 R845">
    <cfRule type="cellIs" dxfId="523" priority="339" operator="equal">
      <formula>"Quotation"</formula>
    </cfRule>
  </conditionalFormatting>
  <conditionalFormatting sqref="R855">
    <cfRule type="cellIs" dxfId="522" priority="332" operator="equal">
      <formula>"Quotation"</formula>
    </cfRule>
  </conditionalFormatting>
  <conditionalFormatting sqref="R868">
    <cfRule type="cellIs" dxfId="521" priority="331" operator="equal">
      <formula>"Quotation"</formula>
    </cfRule>
  </conditionalFormatting>
  <conditionalFormatting sqref="D870:G870 R870">
    <cfRule type="cellIs" dxfId="520" priority="330" operator="equal">
      <formula>"Quotation"</formula>
    </cfRule>
  </conditionalFormatting>
  <conditionalFormatting sqref="D871:G871 R871">
    <cfRule type="cellIs" dxfId="519" priority="329" operator="equal">
      <formula>"Quotation"</formula>
    </cfRule>
  </conditionalFormatting>
  <conditionalFormatting sqref="T887 P887:R887">
    <cfRule type="cellIs" dxfId="518" priority="324" operator="equal">
      <formula>"Quotation"</formula>
    </cfRule>
  </conditionalFormatting>
  <conditionalFormatting sqref="D886:G886 R886">
    <cfRule type="cellIs" dxfId="517" priority="323" operator="equal">
      <formula>"Quotation"</formula>
    </cfRule>
  </conditionalFormatting>
  <conditionalFormatting sqref="T886 P886:R886">
    <cfRule type="cellIs" dxfId="516" priority="322" operator="equal">
      <formula>"Quotation"</formula>
    </cfRule>
  </conditionalFormatting>
  <conditionalFormatting sqref="D885:G885 R885">
    <cfRule type="cellIs" dxfId="515" priority="321" operator="equal">
      <formula>"Quotation"</formula>
    </cfRule>
  </conditionalFormatting>
  <conditionalFormatting sqref="D889:G889 R889">
    <cfRule type="cellIs" dxfId="514" priority="319" operator="equal">
      <formula>"Quotation"</formula>
    </cfRule>
  </conditionalFormatting>
  <conditionalFormatting sqref="R891 D891:G891">
    <cfRule type="cellIs" dxfId="513" priority="318" operator="equal">
      <formula>"Quotation"</formula>
    </cfRule>
  </conditionalFormatting>
  <conditionalFormatting sqref="AB376:AB381 N376:N381">
    <cfRule type="cellIs" dxfId="512" priority="631" operator="equal">
      <formula>"Quotation"</formula>
    </cfRule>
  </conditionalFormatting>
  <conditionalFormatting sqref="AC378:AE378">
    <cfRule type="cellIs" dxfId="511" priority="630" operator="equal">
      <formula>"Quotation"</formula>
    </cfRule>
  </conditionalFormatting>
  <conditionalFormatting sqref="AC381:AE381">
    <cfRule type="cellIs" dxfId="510" priority="629" operator="equal">
      <formula>"Quotation"</formula>
    </cfRule>
  </conditionalFormatting>
  <conditionalFormatting sqref="N420:N424">
    <cfRule type="cellIs" dxfId="509" priority="626" operator="between">
      <formula>TODAY()+1</formula>
      <formula>TODAY()+120</formula>
    </cfRule>
    <cfRule type="cellIs" dxfId="508" priority="627" operator="between">
      <formula>TODAY()+120</formula>
      <formula>TODAY()+5000</formula>
    </cfRule>
    <cfRule type="cellIs" dxfId="507" priority="628" operator="between">
      <formula>TODAY()</formula>
      <formula>TODAY()-5000</formula>
    </cfRule>
  </conditionalFormatting>
  <conditionalFormatting sqref="N425:N427">
    <cfRule type="cellIs" dxfId="506" priority="623" operator="between">
      <formula>TODAY()+1</formula>
      <formula>TODAY()+120</formula>
    </cfRule>
    <cfRule type="cellIs" dxfId="505" priority="624" operator="between">
      <formula>TODAY()+120</formula>
      <formula>TODAY()+5000</formula>
    </cfRule>
    <cfRule type="cellIs" dxfId="504" priority="625" operator="between">
      <formula>TODAY()</formula>
      <formula>TODAY()-5000</formula>
    </cfRule>
  </conditionalFormatting>
  <conditionalFormatting sqref="N428">
    <cfRule type="cellIs" dxfId="503" priority="620" operator="between">
      <formula>TODAY()+1</formula>
      <formula>TODAY()+120</formula>
    </cfRule>
    <cfRule type="cellIs" dxfId="502" priority="621" operator="between">
      <formula>TODAY()+120</formula>
      <formula>TODAY()+5000</formula>
    </cfRule>
    <cfRule type="cellIs" dxfId="501" priority="622" operator="between">
      <formula>TODAY()</formula>
      <formula>TODAY()-5000</formula>
    </cfRule>
  </conditionalFormatting>
  <conditionalFormatting sqref="N429">
    <cfRule type="cellIs" dxfId="500" priority="617" operator="between">
      <formula>TODAY()+1</formula>
      <formula>TODAY()+120</formula>
    </cfRule>
    <cfRule type="cellIs" dxfId="499" priority="618" operator="between">
      <formula>TODAY()+120</formula>
      <formula>TODAY()+5000</formula>
    </cfRule>
    <cfRule type="cellIs" dxfId="498" priority="619" operator="between">
      <formula>TODAY()</formula>
      <formula>TODAY()-5000</formula>
    </cfRule>
  </conditionalFormatting>
  <conditionalFormatting sqref="AC440:AE440">
    <cfRule type="cellIs" dxfId="497" priority="616" operator="equal">
      <formula>"Quotation"</formula>
    </cfRule>
  </conditionalFormatting>
  <conditionalFormatting sqref="AC441:AE441">
    <cfRule type="cellIs" dxfId="496" priority="612" operator="equal">
      <formula>"Quotation"</formula>
    </cfRule>
  </conditionalFormatting>
  <conditionalFormatting sqref="AC442:AE442 Y442:Z442">
    <cfRule type="cellIs" dxfId="495" priority="608" operator="equal">
      <formula>"Quotation"</formula>
    </cfRule>
  </conditionalFormatting>
  <conditionalFormatting sqref="AC447:AE447">
    <cfRule type="cellIs" dxfId="494" priority="592" operator="equal">
      <formula>"Quotation"</formula>
    </cfRule>
  </conditionalFormatting>
  <conditionalFormatting sqref="AC449:AE449">
    <cfRule type="cellIs" dxfId="493" priority="585" operator="equal">
      <formula>"Quotation"</formula>
    </cfRule>
  </conditionalFormatting>
  <conditionalFormatting sqref="AC450:AE450">
    <cfRule type="cellIs" dxfId="492" priority="581" operator="equal">
      <formula>"Quotation"</formula>
    </cfRule>
  </conditionalFormatting>
  <conditionalFormatting sqref="AC452:AE452">
    <cfRule type="timePeriod" dxfId="491" priority="571" timePeriod="last7Days">
      <formula>AND(TODAY()-FLOOR(AC452,1)&lt;=6,FLOOR(AC452,1)&lt;=TODAY())</formula>
    </cfRule>
  </conditionalFormatting>
  <conditionalFormatting sqref="AC453:AE453">
    <cfRule type="timePeriod" dxfId="490" priority="567" timePeriod="last7Days">
      <formula>AND(TODAY()-FLOOR(AC453,1)&lt;=6,FLOOR(AC453,1)&lt;=TODAY())</formula>
    </cfRule>
  </conditionalFormatting>
  <conditionalFormatting sqref="AC454:AE454">
    <cfRule type="timePeriod" dxfId="489" priority="563" timePeriod="last7Days">
      <formula>AND(TODAY()-FLOOR(AC454,1)&lt;=6,FLOOR(AC454,1)&lt;=TODAY())</formula>
    </cfRule>
  </conditionalFormatting>
  <conditionalFormatting sqref="AC455:AE456">
    <cfRule type="timePeriod" dxfId="488" priority="559" timePeriod="last7Days">
      <formula>AND(TODAY()-FLOOR(AC455,1)&lt;=6,FLOOR(AC455,1)&lt;=TODAY())</formula>
    </cfRule>
  </conditionalFormatting>
  <conditionalFormatting sqref="AC457:AE457">
    <cfRule type="timePeriod" dxfId="487" priority="555" timePeriod="last7Days">
      <formula>AND(TODAY()-FLOOR(AC457,1)&lt;=6,FLOOR(AC457,1)&lt;=TODAY())</formula>
    </cfRule>
  </conditionalFormatting>
  <conditionalFormatting sqref="S458">
    <cfRule type="cellIs" dxfId="486" priority="551" operator="equal">
      <formula>"Quotation"</formula>
    </cfRule>
  </conditionalFormatting>
  <conditionalFormatting sqref="AC458:AE458">
    <cfRule type="timePeriod" dxfId="485" priority="550" timePeriod="last7Days">
      <formula>AND(TODAY()-FLOOR(AC458,1)&lt;=6,FLOOR(AC458,1)&lt;=TODAY())</formula>
    </cfRule>
  </conditionalFormatting>
  <conditionalFormatting sqref="S459">
    <cfRule type="cellIs" dxfId="484" priority="546" operator="equal">
      <formula>"Quotation"</formula>
    </cfRule>
  </conditionalFormatting>
  <conditionalFormatting sqref="AC459:AE459">
    <cfRule type="timePeriod" dxfId="483" priority="545" timePeriod="last7Days">
      <formula>AND(TODAY()-FLOOR(AC459,1)&lt;=6,FLOOR(AC459,1)&lt;=TODAY())</formula>
    </cfRule>
  </conditionalFormatting>
  <conditionalFormatting sqref="S460">
    <cfRule type="cellIs" dxfId="482" priority="541" operator="equal">
      <formula>"Quotation"</formula>
    </cfRule>
  </conditionalFormatting>
  <conditionalFormatting sqref="AC460:AE460">
    <cfRule type="timePeriod" dxfId="481" priority="540" timePeriod="last7Days">
      <formula>AND(TODAY()-FLOOR(AC460,1)&lt;=6,FLOOR(AC460,1)&lt;=TODAY())</formula>
    </cfRule>
  </conditionalFormatting>
  <conditionalFormatting sqref="AC461:AE461">
    <cfRule type="cellIs" dxfId="480" priority="539" operator="equal">
      <formula>"Quotation"</formula>
    </cfRule>
  </conditionalFormatting>
  <conditionalFormatting sqref="AC461:AE461">
    <cfRule type="timePeriod" dxfId="479" priority="535" timePeriod="last7Days">
      <formula>AND(TODAY()-FLOOR(AC461,1)&lt;=6,FLOOR(AC461,1)&lt;=TODAY())</formula>
    </cfRule>
  </conditionalFormatting>
  <conditionalFormatting sqref="AC462:AE463">
    <cfRule type="timePeriod" dxfId="478" priority="531" timePeriod="last7Days">
      <formula>AND(TODAY()-FLOOR(AC462,1)&lt;=6,FLOOR(AC462,1)&lt;=TODAY())</formula>
    </cfRule>
  </conditionalFormatting>
  <conditionalFormatting sqref="AC464:AE464">
    <cfRule type="timePeriod" dxfId="477" priority="527" timePeriod="last7Days">
      <formula>AND(TODAY()-FLOOR(AC464,1)&lt;=6,FLOOR(AC464,1)&lt;=TODAY())</formula>
    </cfRule>
  </conditionalFormatting>
  <conditionalFormatting sqref="AC465:AE465">
    <cfRule type="timePeriod" dxfId="476" priority="522" timePeriod="last7Days">
      <formula>AND(TODAY()-FLOOR(AC465,1)&lt;=6,FLOOR(AC465,1)&lt;=TODAY())</formula>
    </cfRule>
  </conditionalFormatting>
  <conditionalFormatting sqref="S466 AC466:AE466">
    <cfRule type="cellIs" dxfId="475" priority="521" operator="equal">
      <formula>"Quotation"</formula>
    </cfRule>
  </conditionalFormatting>
  <conditionalFormatting sqref="P466:R466 H466:K466">
    <cfRule type="cellIs" dxfId="474" priority="520" operator="equal">
      <formula>"Quotation"</formula>
    </cfRule>
  </conditionalFormatting>
  <conditionalFormatting sqref="AC466:AE466">
    <cfRule type="timePeriod" dxfId="473" priority="516" timePeriod="last7Days">
      <formula>AND(TODAY()-FLOOR(AC466,1)&lt;=6,FLOOR(AC466,1)&lt;=TODAY())</formula>
    </cfRule>
  </conditionalFormatting>
  <conditionalFormatting sqref="AC467:AE468">
    <cfRule type="timePeriod" dxfId="472" priority="511" timePeriod="last7Days">
      <formula>AND(TODAY()-FLOOR(AC467,1)&lt;=6,FLOOR(AC467,1)&lt;=TODAY())</formula>
    </cfRule>
  </conditionalFormatting>
  <conditionalFormatting sqref="AC469:AE469">
    <cfRule type="timePeriod" dxfId="471" priority="507" timePeriod="last7Days">
      <formula>AND(TODAY()-FLOOR(AC469,1)&lt;=6,FLOOR(AC469,1)&lt;=TODAY())</formula>
    </cfRule>
  </conditionalFormatting>
  <conditionalFormatting sqref="AC470:AE470">
    <cfRule type="timePeriod" dxfId="470" priority="503" timePeriod="last7Days">
      <formula>AND(TODAY()-FLOOR(AC470,1)&lt;=6,FLOOR(AC470,1)&lt;=TODAY())</formula>
    </cfRule>
  </conditionalFormatting>
  <conditionalFormatting sqref="AC471:AE471">
    <cfRule type="timePeriod" dxfId="469" priority="499" timePeriod="last7Days">
      <formula>AND(TODAY()-FLOOR(AC471,1)&lt;=6,FLOOR(AC471,1)&lt;=TODAY())</formula>
    </cfRule>
  </conditionalFormatting>
  <conditionalFormatting sqref="AC472:AE472">
    <cfRule type="timePeriod" dxfId="468" priority="495" timePeriod="last7Days">
      <formula>AND(TODAY()-FLOOR(AC472,1)&lt;=6,FLOOR(AC472,1)&lt;=TODAY())</formula>
    </cfRule>
  </conditionalFormatting>
  <conditionalFormatting sqref="T477:V477">
    <cfRule type="cellIs" dxfId="467" priority="494" operator="equal">
      <formula>"Quotation"</formula>
    </cfRule>
  </conditionalFormatting>
  <conditionalFormatting sqref="T479:V479">
    <cfRule type="cellIs" dxfId="466" priority="493" operator="equal">
      <formula>"Quotation"</formula>
    </cfRule>
  </conditionalFormatting>
  <conditionalFormatting sqref="R480 D480:G480">
    <cfRule type="cellIs" dxfId="465" priority="492" operator="equal">
      <formula>"Quotation"</formula>
    </cfRule>
  </conditionalFormatting>
  <conditionalFormatting sqref="R493 D493:G493">
    <cfRule type="cellIs" dxfId="464" priority="491" operator="equal">
      <formula>"Quotation"</formula>
    </cfRule>
  </conditionalFormatting>
  <conditionalFormatting sqref="T506 T508:T512 T514">
    <cfRule type="cellIs" dxfId="463" priority="490" operator="equal">
      <formula>"Quotation"</formula>
    </cfRule>
  </conditionalFormatting>
  <conditionalFormatting sqref="T518:T519 T522:T523 T529:T533">
    <cfRule type="cellIs" dxfId="462" priority="486" operator="equal">
      <formula>"Quotation"</formula>
    </cfRule>
  </conditionalFormatting>
  <conditionalFormatting sqref="I522:N523">
    <cfRule type="cellIs" dxfId="461" priority="485" operator="equal">
      <formula>"Quotation"</formula>
    </cfRule>
  </conditionalFormatting>
  <conditionalFormatting sqref="T521">
    <cfRule type="cellIs" dxfId="460" priority="484" operator="equal">
      <formula>"Quotation"</formula>
    </cfRule>
  </conditionalFormatting>
  <conditionalFormatting sqref="P522:R522">
    <cfRule type="cellIs" dxfId="459" priority="482" operator="equal">
      <formula>"Quotation"</formula>
    </cfRule>
  </conditionalFormatting>
  <conditionalFormatting sqref="O522">
    <cfRule type="cellIs" dxfId="458" priority="481" operator="equal">
      <formula>"Quotation"</formula>
    </cfRule>
  </conditionalFormatting>
  <conditionalFormatting sqref="P523:R523">
    <cfRule type="cellIs" dxfId="457" priority="480" operator="equal">
      <formula>"Quotation"</formula>
    </cfRule>
  </conditionalFormatting>
  <conditionalFormatting sqref="O523">
    <cfRule type="cellIs" dxfId="456" priority="479" operator="equal">
      <formula>"Quotation"</formula>
    </cfRule>
  </conditionalFormatting>
  <conditionalFormatting sqref="T525">
    <cfRule type="cellIs" dxfId="455" priority="478" operator="equal">
      <formula>"Quotation"</formula>
    </cfRule>
  </conditionalFormatting>
  <conditionalFormatting sqref="M529:N529">
    <cfRule type="cellIs" dxfId="454" priority="477" operator="equal">
      <formula>"Quotation"</formula>
    </cfRule>
  </conditionalFormatting>
  <conditionalFormatting sqref="J529:L529">
    <cfRule type="cellIs" dxfId="453" priority="476" operator="equal">
      <formula>"Quotation"</formula>
    </cfRule>
  </conditionalFormatting>
  <conditionalFormatting sqref="M531:N532">
    <cfRule type="cellIs" dxfId="452" priority="475" operator="equal">
      <formula>"Quotation"</formula>
    </cfRule>
  </conditionalFormatting>
  <conditionalFormatting sqref="J531:L532">
    <cfRule type="cellIs" dxfId="451" priority="474" operator="equal">
      <formula>"Quotation"</formula>
    </cfRule>
  </conditionalFormatting>
  <conditionalFormatting sqref="M533:N533">
    <cfRule type="cellIs" dxfId="450" priority="473" operator="equal">
      <formula>"Quotation"</formula>
    </cfRule>
  </conditionalFormatting>
  <conditionalFormatting sqref="J533:L533">
    <cfRule type="cellIs" dxfId="449" priority="472" operator="equal">
      <formula>"Quotation"</formula>
    </cfRule>
  </conditionalFormatting>
  <conditionalFormatting sqref="T537:T540 T542 T550 T534:T535">
    <cfRule type="cellIs" dxfId="448" priority="471" operator="equal">
      <formula>"Quotation"</formula>
    </cfRule>
  </conditionalFormatting>
  <conditionalFormatting sqref="P536:S536">
    <cfRule type="cellIs" dxfId="447" priority="470" operator="equal">
      <formula>"Quotation"</formula>
    </cfRule>
  </conditionalFormatting>
  <conditionalFormatting sqref="J534:L534">
    <cfRule type="cellIs" dxfId="446" priority="468" operator="equal">
      <formula>"Quotation"</formula>
    </cfRule>
  </conditionalFormatting>
  <conditionalFormatting sqref="M534:N534">
    <cfRule type="cellIs" dxfId="445" priority="469" operator="equal">
      <formula>"Quotation"</formula>
    </cfRule>
  </conditionalFormatting>
  <conditionalFormatting sqref="S541:T541 Q541">
    <cfRule type="cellIs" dxfId="444" priority="467" operator="equal">
      <formula>"Quotation"</formula>
    </cfRule>
  </conditionalFormatting>
  <conditionalFormatting sqref="P541">
    <cfRule type="cellIs" dxfId="443" priority="466" operator="equal">
      <formula>"Quotation"</formula>
    </cfRule>
  </conditionalFormatting>
  <conditionalFormatting sqref="T545">
    <cfRule type="cellIs" dxfId="442" priority="465" operator="equal">
      <formula>"Quotation"</formula>
    </cfRule>
  </conditionalFormatting>
  <conditionalFormatting sqref="S547:T547">
    <cfRule type="cellIs" dxfId="441" priority="464" operator="equal">
      <formula>"Quotation"</formula>
    </cfRule>
  </conditionalFormatting>
  <conditionalFormatting sqref="J547:L547">
    <cfRule type="cellIs" dxfId="440" priority="463" operator="equal">
      <formula>"Quotation"</formula>
    </cfRule>
  </conditionalFormatting>
  <conditionalFormatting sqref="T554 T556:T561 T565:T568 T570">
    <cfRule type="cellIs" dxfId="439" priority="462" operator="equal">
      <formula>"Quotation"</formula>
    </cfRule>
  </conditionalFormatting>
  <conditionalFormatting sqref="R565">
    <cfRule type="cellIs" dxfId="438" priority="461" operator="equal">
      <formula>"Quotation"</formula>
    </cfRule>
  </conditionalFormatting>
  <conditionalFormatting sqref="Q565">
    <cfRule type="cellIs" dxfId="437" priority="460" operator="equal">
      <formula>"Quotation"</formula>
    </cfRule>
  </conditionalFormatting>
  <conditionalFormatting sqref="R566">
    <cfRule type="cellIs" dxfId="436" priority="459" operator="equal">
      <formula>"Quotation"</formula>
    </cfRule>
  </conditionalFormatting>
  <conditionalFormatting sqref="Q566">
    <cfRule type="cellIs" dxfId="435" priority="458" operator="equal">
      <formula>"Quotation"</formula>
    </cfRule>
  </conditionalFormatting>
  <conditionalFormatting sqref="R567">
    <cfRule type="cellIs" dxfId="434" priority="457" operator="equal">
      <formula>"Quotation"</formula>
    </cfRule>
  </conditionalFormatting>
  <conditionalFormatting sqref="Q567">
    <cfRule type="cellIs" dxfId="433" priority="456" operator="equal">
      <formula>"Quotation"</formula>
    </cfRule>
  </conditionalFormatting>
  <conditionalFormatting sqref="R568">
    <cfRule type="cellIs" dxfId="432" priority="455" operator="equal">
      <formula>"Quotation"</formula>
    </cfRule>
  </conditionalFormatting>
  <conditionalFormatting sqref="Q568">
    <cfRule type="cellIs" dxfId="431" priority="454" operator="equal">
      <formula>"Quotation"</formula>
    </cfRule>
  </conditionalFormatting>
  <conditionalFormatting sqref="T576:T577 T583:T586 T588">
    <cfRule type="cellIs" dxfId="430" priority="453" operator="equal">
      <formula>"Quotation"</formula>
    </cfRule>
  </conditionalFormatting>
  <conditionalFormatting sqref="D582:G582">
    <cfRule type="cellIs" dxfId="429" priority="441" operator="equal">
      <formula>"Quotation"</formula>
    </cfRule>
  </conditionalFormatting>
  <conditionalFormatting sqref="R583">
    <cfRule type="cellIs" dxfId="428" priority="440" operator="equal">
      <formula>"Quotation"</formula>
    </cfRule>
  </conditionalFormatting>
  <conditionalFormatting sqref="R584">
    <cfRule type="cellIs" dxfId="427" priority="437" operator="equal">
      <formula>"Quotation"</formula>
    </cfRule>
  </conditionalFormatting>
  <conditionalFormatting sqref="Q584">
    <cfRule type="cellIs" dxfId="426" priority="436" operator="equal">
      <formula>"Quotation"</formula>
    </cfRule>
  </conditionalFormatting>
  <conditionalFormatting sqref="D584:G584">
    <cfRule type="cellIs" dxfId="425" priority="435" operator="equal">
      <formula>"Quotation"</formula>
    </cfRule>
  </conditionalFormatting>
  <conditionalFormatting sqref="D585:G585">
    <cfRule type="cellIs" dxfId="424" priority="432" operator="equal">
      <formula>"Quotation"</formula>
    </cfRule>
  </conditionalFormatting>
  <conditionalFormatting sqref="O586">
    <cfRule type="cellIs" dxfId="423" priority="431" operator="equal">
      <formula>"Quotation"</formula>
    </cfRule>
  </conditionalFormatting>
  <conditionalFormatting sqref="P586:R586">
    <cfRule type="cellIs" dxfId="422" priority="430" operator="equal">
      <formula>"Quotation"</formula>
    </cfRule>
  </conditionalFormatting>
  <conditionalFormatting sqref="R588">
    <cfRule type="cellIs" dxfId="421" priority="427" operator="equal">
      <formula>"Quotation"</formula>
    </cfRule>
  </conditionalFormatting>
  <conditionalFormatting sqref="Q588">
    <cfRule type="cellIs" dxfId="420" priority="426" operator="equal">
      <formula>"Quotation"</formula>
    </cfRule>
  </conditionalFormatting>
  <conditionalFormatting sqref="D588:G588">
    <cfRule type="cellIs" dxfId="419" priority="425" operator="equal">
      <formula>"Quotation"</formula>
    </cfRule>
  </conditionalFormatting>
  <conditionalFormatting sqref="Q612:R612">
    <cfRule type="cellIs" dxfId="418" priority="418" operator="equal">
      <formula>"Quotation"</formula>
    </cfRule>
  </conditionalFormatting>
  <conditionalFormatting sqref="O612:P612 T612">
    <cfRule type="cellIs" dxfId="417" priority="417" operator="equal">
      <formula>"Quotation"</formula>
    </cfRule>
  </conditionalFormatting>
  <conditionalFormatting sqref="D613:G613 R613">
    <cfRule type="cellIs" dxfId="416" priority="414" operator="equal">
      <formula>"Quotation"</formula>
    </cfRule>
  </conditionalFormatting>
  <conditionalFormatting sqref="T633:T634">
    <cfRule type="cellIs" dxfId="415" priority="413" operator="equal">
      <formula>"Quotation"</formula>
    </cfRule>
  </conditionalFormatting>
  <conditionalFormatting sqref="R630">
    <cfRule type="cellIs" dxfId="414" priority="412" operator="equal">
      <formula>"Quotation"</formula>
    </cfRule>
  </conditionalFormatting>
  <conditionalFormatting sqref="R631">
    <cfRule type="cellIs" dxfId="413" priority="411" operator="equal">
      <formula>"Quotation"</formula>
    </cfRule>
  </conditionalFormatting>
  <conditionalFormatting sqref="D631:G631">
    <cfRule type="cellIs" dxfId="412" priority="410" operator="equal">
      <formula>"Quotation"</formula>
    </cfRule>
  </conditionalFormatting>
  <conditionalFormatting sqref="R633">
    <cfRule type="cellIs" dxfId="411" priority="409" operator="equal">
      <formula>"Quotation"</formula>
    </cfRule>
  </conditionalFormatting>
  <conditionalFormatting sqref="D633:G633">
    <cfRule type="cellIs" dxfId="410" priority="408" operator="equal">
      <formula>"Quotation"</formula>
    </cfRule>
  </conditionalFormatting>
  <conditionalFormatting sqref="R634">
    <cfRule type="cellIs" dxfId="409" priority="406" operator="equal">
      <formula>"Quotation"</formula>
    </cfRule>
  </conditionalFormatting>
  <conditionalFormatting sqref="Q634">
    <cfRule type="cellIs" dxfId="408" priority="405" operator="equal">
      <formula>"Quotation"</formula>
    </cfRule>
  </conditionalFormatting>
  <conditionalFormatting sqref="D635:G635 R635">
    <cfRule type="cellIs" dxfId="407" priority="404" operator="equal">
      <formula>"Quotation"</formula>
    </cfRule>
  </conditionalFormatting>
  <conditionalFormatting sqref="D721:G721">
    <cfRule type="cellIs" dxfId="406" priority="394" operator="equal">
      <formula>"Quotation"</formula>
    </cfRule>
  </conditionalFormatting>
  <conditionalFormatting sqref="T729 T733 T739 T743:T744">
    <cfRule type="cellIs" dxfId="405" priority="393" operator="equal">
      <formula>"Quotation"</formula>
    </cfRule>
  </conditionalFormatting>
  <conditionalFormatting sqref="D723:G723 R723">
    <cfRule type="cellIs" dxfId="404" priority="392" operator="equal">
      <formula>"Quotation"</formula>
    </cfRule>
  </conditionalFormatting>
  <conditionalFormatting sqref="R727 D727:G727">
    <cfRule type="cellIs" dxfId="403" priority="391" operator="equal">
      <formula>"Quotation"</formula>
    </cfRule>
  </conditionalFormatting>
  <conditionalFormatting sqref="D732:G732 R732">
    <cfRule type="cellIs" dxfId="402" priority="390" operator="equal">
      <formula>"Quotation"</formula>
    </cfRule>
  </conditionalFormatting>
  <conditionalFormatting sqref="D733:G733 R733">
    <cfRule type="cellIs" dxfId="401" priority="389" operator="equal">
      <formula>"Quotation"</formula>
    </cfRule>
  </conditionalFormatting>
  <conditionalFormatting sqref="R733">
    <cfRule type="cellIs" dxfId="400" priority="388" operator="equal">
      <formula>"Quotation"</formula>
    </cfRule>
  </conditionalFormatting>
  <conditionalFormatting sqref="Q733">
    <cfRule type="cellIs" dxfId="399" priority="387" operator="equal">
      <formula>"Quotation"</formula>
    </cfRule>
  </conditionalFormatting>
  <conditionalFormatting sqref="T734 R734">
    <cfRule type="cellIs" dxfId="398" priority="386" operator="equal">
      <formula>"Quotation"</formula>
    </cfRule>
  </conditionalFormatting>
  <conditionalFormatting sqref="T735 Q735:R735">
    <cfRule type="cellIs" dxfId="397" priority="385" operator="equal">
      <formula>"Quotation"</formula>
    </cfRule>
  </conditionalFormatting>
  <conditionalFormatting sqref="R736">
    <cfRule type="cellIs" dxfId="396" priority="384" operator="equal">
      <formula>"Quotation"</formula>
    </cfRule>
  </conditionalFormatting>
  <conditionalFormatting sqref="D737:G737 R737">
    <cfRule type="cellIs" dxfId="395" priority="383" operator="equal">
      <formula>"Quotation"</formula>
    </cfRule>
  </conditionalFormatting>
  <conditionalFormatting sqref="R739">
    <cfRule type="cellIs" dxfId="394" priority="382" operator="equal">
      <formula>"Quotation"</formula>
    </cfRule>
  </conditionalFormatting>
  <conditionalFormatting sqref="Q739">
    <cfRule type="cellIs" dxfId="393" priority="380" operator="equal">
      <formula>"Quotation"</formula>
    </cfRule>
  </conditionalFormatting>
  <conditionalFormatting sqref="D739:G739">
    <cfRule type="cellIs" dxfId="392" priority="379" operator="equal">
      <formula>"Quotation"</formula>
    </cfRule>
  </conditionalFormatting>
  <conditionalFormatting sqref="R740 D740:G740">
    <cfRule type="cellIs" dxfId="391" priority="378" operator="equal">
      <formula>"Quotation"</formula>
    </cfRule>
  </conditionalFormatting>
  <conditionalFormatting sqref="D745:G745 R745">
    <cfRule type="cellIs" dxfId="390" priority="376" operator="equal">
      <formula>"Quotation"</formula>
    </cfRule>
  </conditionalFormatting>
  <conditionalFormatting sqref="R753 D753:G753">
    <cfRule type="cellIs" dxfId="389" priority="375" operator="equal">
      <formula>"Quotation"</formula>
    </cfRule>
  </conditionalFormatting>
  <conditionalFormatting sqref="T770 T776:T778">
    <cfRule type="cellIs" dxfId="388" priority="374" operator="equal">
      <formula>"Quotation"</formula>
    </cfRule>
  </conditionalFormatting>
  <conditionalFormatting sqref="D754:G754 R754">
    <cfRule type="cellIs" dxfId="387" priority="373" operator="equal">
      <formula>"Quotation"</formula>
    </cfRule>
  </conditionalFormatting>
  <conditionalFormatting sqref="Q769:R769 T769">
    <cfRule type="cellIs" dxfId="386" priority="369" operator="equal">
      <formula>"Quotation"</formula>
    </cfRule>
  </conditionalFormatting>
  <conditionalFormatting sqref="D771:G771 R771">
    <cfRule type="cellIs" dxfId="385" priority="368" operator="equal">
      <formula>"Quotation"</formula>
    </cfRule>
  </conditionalFormatting>
  <conditionalFormatting sqref="D773:G773 R773">
    <cfRule type="cellIs" dxfId="384" priority="367" operator="equal">
      <formula>"Quotation"</formula>
    </cfRule>
  </conditionalFormatting>
  <conditionalFormatting sqref="O776:R776">
    <cfRule type="cellIs" dxfId="383" priority="366" operator="equal">
      <formula>"Quotation"</formula>
    </cfRule>
  </conditionalFormatting>
  <conditionalFormatting sqref="Q778:R778">
    <cfRule type="cellIs" dxfId="382" priority="365" operator="equal">
      <formula>"Quotation"</formula>
    </cfRule>
  </conditionalFormatting>
  <conditionalFormatting sqref="N762">
    <cfRule type="cellIs" dxfId="381" priority="359" operator="between">
      <formula>TODAY()+1</formula>
      <formula>TODAY()+120</formula>
    </cfRule>
    <cfRule type="cellIs" dxfId="380" priority="360" operator="between">
      <formula>TODAY()+120</formula>
      <formula>TODAY()+5000</formula>
    </cfRule>
    <cfRule type="cellIs" dxfId="379" priority="361" operator="between">
      <formula>TODAY()</formula>
      <formula>TODAY()-5000</formula>
    </cfRule>
  </conditionalFormatting>
  <conditionalFormatting sqref="R790">
    <cfRule type="cellIs" dxfId="378" priority="357" operator="equal">
      <formula>"Quotation"</formula>
    </cfRule>
  </conditionalFormatting>
  <conditionalFormatting sqref="R790">
    <cfRule type="cellIs" dxfId="377" priority="356" operator="equal">
      <formula>"Quotation"</formula>
    </cfRule>
  </conditionalFormatting>
  <conditionalFormatting sqref="Q790">
    <cfRule type="cellIs" dxfId="376" priority="355" operator="equal">
      <formula>"Quotation"</formula>
    </cfRule>
  </conditionalFormatting>
  <conditionalFormatting sqref="R794 D794:G794">
    <cfRule type="cellIs" dxfId="375" priority="352" operator="equal">
      <formula>"Quotation"</formula>
    </cfRule>
  </conditionalFormatting>
  <conditionalFormatting sqref="D796:G796 R796">
    <cfRule type="cellIs" dxfId="374" priority="351" operator="equal">
      <formula>"Quotation"</formula>
    </cfRule>
  </conditionalFormatting>
  <conditionalFormatting sqref="D805:G805 R805">
    <cfRule type="cellIs" dxfId="373" priority="350" operator="equal">
      <formula>"Quotation"</formula>
    </cfRule>
  </conditionalFormatting>
  <conditionalFormatting sqref="D806:G806 R806">
    <cfRule type="cellIs" dxfId="372" priority="349" operator="equal">
      <formula>"Quotation"</formula>
    </cfRule>
  </conditionalFormatting>
  <conditionalFormatting sqref="D821:G821 R821">
    <cfRule type="cellIs" dxfId="371" priority="348" operator="equal">
      <formula>"Quotation"</formula>
    </cfRule>
  </conditionalFormatting>
  <conditionalFormatting sqref="R825 D825:G825">
    <cfRule type="cellIs" dxfId="370" priority="347" operator="equal">
      <formula>"Quotation"</formula>
    </cfRule>
  </conditionalFormatting>
  <conditionalFormatting sqref="R826 D826:G826">
    <cfRule type="cellIs" dxfId="369" priority="346" operator="equal">
      <formula>"Quotation"</formula>
    </cfRule>
  </conditionalFormatting>
  <conditionalFormatting sqref="D840:G840 R840">
    <cfRule type="cellIs" dxfId="368" priority="341" operator="equal">
      <formula>"Quotation"</formula>
    </cfRule>
  </conditionalFormatting>
  <conditionalFormatting sqref="D844:G844 R844">
    <cfRule type="cellIs" dxfId="367" priority="340" operator="equal">
      <formula>"Quotation"</formula>
    </cfRule>
  </conditionalFormatting>
  <conditionalFormatting sqref="R846 D846:G846">
    <cfRule type="cellIs" dxfId="366" priority="338" operator="equal">
      <formula>"Quotation"</formula>
    </cfRule>
  </conditionalFormatting>
  <conditionalFormatting sqref="D847:G847 R847">
    <cfRule type="cellIs" dxfId="365" priority="337" operator="equal">
      <formula>"Quotation"</formula>
    </cfRule>
  </conditionalFormatting>
  <conditionalFormatting sqref="R848 D848:G848">
    <cfRule type="cellIs" dxfId="364" priority="336" operator="equal">
      <formula>"Quotation"</formula>
    </cfRule>
  </conditionalFormatting>
  <conditionalFormatting sqref="R850 D850:G850">
    <cfRule type="cellIs" dxfId="363" priority="335" operator="equal">
      <formula>"Quotation"</formula>
    </cfRule>
  </conditionalFormatting>
  <conditionalFormatting sqref="D853:G853 R853">
    <cfRule type="cellIs" dxfId="362" priority="334" operator="equal">
      <formula>"Quotation"</formula>
    </cfRule>
  </conditionalFormatting>
  <conditionalFormatting sqref="R854 D854:G854">
    <cfRule type="cellIs" dxfId="361" priority="333" operator="equal">
      <formula>"Quotation"</formula>
    </cfRule>
  </conditionalFormatting>
  <conditionalFormatting sqref="D877:G877 R877">
    <cfRule type="cellIs" dxfId="360" priority="328" operator="equal">
      <formula>"Quotation"</formula>
    </cfRule>
  </conditionalFormatting>
  <conditionalFormatting sqref="R878">
    <cfRule type="cellIs" dxfId="359" priority="327" operator="equal">
      <formula>"Quotation"</formula>
    </cfRule>
  </conditionalFormatting>
  <conditionalFormatting sqref="D879:G879 R879">
    <cfRule type="cellIs" dxfId="358" priority="326" operator="equal">
      <formula>"Quotation"</formula>
    </cfRule>
  </conditionalFormatting>
  <conditionalFormatting sqref="D887:G887 R887">
    <cfRule type="cellIs" dxfId="357" priority="325" operator="equal">
      <formula>"Quotation"</formula>
    </cfRule>
  </conditionalFormatting>
  <conditionalFormatting sqref="T885 P885:R885">
    <cfRule type="cellIs" dxfId="356" priority="320" operator="equal">
      <formula>"Quotation"</formula>
    </cfRule>
  </conditionalFormatting>
  <conditionalFormatting sqref="W1019">
    <cfRule type="cellIs" dxfId="355" priority="315" operator="equal">
      <formula>"Active"</formula>
    </cfRule>
    <cfRule type="cellIs" dxfId="354" priority="316" operator="equal">
      <formula>"Non Active"</formula>
    </cfRule>
  </conditionalFormatting>
  <conditionalFormatting sqref="W1019">
    <cfRule type="cellIs" dxfId="353" priority="314" operator="equal">
      <formula>"Ad-hoc"</formula>
    </cfRule>
  </conditionalFormatting>
  <conditionalFormatting sqref="W1020">
    <cfRule type="cellIs" dxfId="352" priority="311" operator="equal">
      <formula>"Active"</formula>
    </cfRule>
    <cfRule type="cellIs" dxfId="351" priority="312" operator="equal">
      <formula>"Non Active"</formula>
    </cfRule>
  </conditionalFormatting>
  <conditionalFormatting sqref="W1020">
    <cfRule type="cellIs" dxfId="350" priority="310" operator="equal">
      <formula>"Ad-hoc"</formula>
    </cfRule>
  </conditionalFormatting>
  <conditionalFormatting sqref="W1021:W1022">
    <cfRule type="cellIs" dxfId="349" priority="307" operator="equal">
      <formula>"Active"</formula>
    </cfRule>
    <cfRule type="cellIs" dxfId="348" priority="308" operator="equal">
      <formula>"Non Active"</formula>
    </cfRule>
  </conditionalFormatting>
  <conditionalFormatting sqref="W1021:W1022">
    <cfRule type="cellIs" dxfId="347" priority="306" operator="equal">
      <formula>"Ad-hoc"</formula>
    </cfRule>
  </conditionalFormatting>
  <conditionalFormatting sqref="J1021:K1022">
    <cfRule type="cellIs" dxfId="346" priority="305" operator="lessThan">
      <formula>NOW()+60</formula>
    </cfRule>
  </conditionalFormatting>
  <conditionalFormatting sqref="W1023:W1024">
    <cfRule type="cellIs" dxfId="345" priority="302" operator="equal">
      <formula>"Active"</formula>
    </cfRule>
    <cfRule type="cellIs" dxfId="344" priority="303" operator="equal">
      <formula>"Non Active"</formula>
    </cfRule>
  </conditionalFormatting>
  <conditionalFormatting sqref="W1023:W1024">
    <cfRule type="cellIs" dxfId="343" priority="301" operator="equal">
      <formula>"Ad-hoc"</formula>
    </cfRule>
  </conditionalFormatting>
  <conditionalFormatting sqref="J1023:K1024">
    <cfRule type="cellIs" dxfId="342" priority="300" operator="lessThan">
      <formula>NOW()+60</formula>
    </cfRule>
  </conditionalFormatting>
  <conditionalFormatting sqref="W1025:W1026">
    <cfRule type="cellIs" dxfId="341" priority="297" operator="equal">
      <formula>"Active"</formula>
    </cfRule>
    <cfRule type="cellIs" dxfId="340" priority="298" operator="equal">
      <formula>"Non Active"</formula>
    </cfRule>
  </conditionalFormatting>
  <conditionalFormatting sqref="W1025:W1026">
    <cfRule type="cellIs" dxfId="339" priority="296" operator="equal">
      <formula>"Ad-hoc"</formula>
    </cfRule>
  </conditionalFormatting>
  <conditionalFormatting sqref="J1025:K1026">
    <cfRule type="cellIs" dxfId="338" priority="295" operator="lessThan">
      <formula>NOW()+60</formula>
    </cfRule>
  </conditionalFormatting>
  <conditionalFormatting sqref="W1027">
    <cfRule type="cellIs" dxfId="337" priority="292" operator="equal">
      <formula>"Active"</formula>
    </cfRule>
    <cfRule type="cellIs" dxfId="336" priority="293" operator="equal">
      <formula>"Non Active"</formula>
    </cfRule>
  </conditionalFormatting>
  <conditionalFormatting sqref="W1027">
    <cfRule type="cellIs" dxfId="335" priority="291" operator="equal">
      <formula>"Ad-hoc"</formula>
    </cfRule>
  </conditionalFormatting>
  <conditionalFormatting sqref="J1027:K1027">
    <cfRule type="cellIs" dxfId="334" priority="290" operator="lessThan">
      <formula>NOW()+60</formula>
    </cfRule>
  </conditionalFormatting>
  <conditionalFormatting sqref="W1028">
    <cfRule type="cellIs" dxfId="333" priority="287" operator="equal">
      <formula>"Active"</formula>
    </cfRule>
    <cfRule type="cellIs" dxfId="332" priority="288" operator="equal">
      <formula>"Non Active"</formula>
    </cfRule>
  </conditionalFormatting>
  <conditionalFormatting sqref="W1028">
    <cfRule type="cellIs" dxfId="331" priority="286" operator="equal">
      <formula>"Ad-hoc"</formula>
    </cfRule>
  </conditionalFormatting>
  <conditionalFormatting sqref="J1028:K1028">
    <cfRule type="cellIs" dxfId="330" priority="285" operator="lessThan">
      <formula>NOW()+60</formula>
    </cfRule>
  </conditionalFormatting>
  <conditionalFormatting sqref="W1029">
    <cfRule type="cellIs" dxfId="329" priority="282" operator="equal">
      <formula>"Active"</formula>
    </cfRule>
    <cfRule type="cellIs" dxfId="328" priority="283" operator="equal">
      <formula>"Non Active"</formula>
    </cfRule>
  </conditionalFormatting>
  <conditionalFormatting sqref="W1029">
    <cfRule type="cellIs" dxfId="327" priority="281" operator="equal">
      <formula>"Ad-hoc"</formula>
    </cfRule>
  </conditionalFormatting>
  <conditionalFormatting sqref="J1029:K1029">
    <cfRule type="cellIs" dxfId="326" priority="280" operator="lessThan">
      <formula>NOW()+60</formula>
    </cfRule>
  </conditionalFormatting>
  <conditionalFormatting sqref="W1030">
    <cfRule type="cellIs" dxfId="325" priority="277" operator="equal">
      <formula>"Active"</formula>
    </cfRule>
    <cfRule type="cellIs" dxfId="324" priority="278" operator="equal">
      <formula>"Non Active"</formula>
    </cfRule>
  </conditionalFormatting>
  <conditionalFormatting sqref="W1030">
    <cfRule type="cellIs" dxfId="323" priority="276" operator="equal">
      <formula>"Ad-hoc"</formula>
    </cfRule>
  </conditionalFormatting>
  <conditionalFormatting sqref="J1030:K1030">
    <cfRule type="cellIs" dxfId="322" priority="275" operator="lessThan">
      <formula>NOW()+60</formula>
    </cfRule>
  </conditionalFormatting>
  <conditionalFormatting sqref="W1031">
    <cfRule type="cellIs" dxfId="321" priority="272" operator="equal">
      <formula>"Active"</formula>
    </cfRule>
    <cfRule type="cellIs" dxfId="320" priority="273" operator="equal">
      <formula>"Non Active"</formula>
    </cfRule>
  </conditionalFormatting>
  <conditionalFormatting sqref="W1031">
    <cfRule type="cellIs" dxfId="319" priority="271" operator="equal">
      <formula>"Ad-hoc"</formula>
    </cfRule>
  </conditionalFormatting>
  <conditionalFormatting sqref="J1031:K1031">
    <cfRule type="cellIs" dxfId="318" priority="270" operator="lessThan">
      <formula>NOW()+60</formula>
    </cfRule>
  </conditionalFormatting>
  <conditionalFormatting sqref="W1032">
    <cfRule type="cellIs" dxfId="317" priority="267" operator="equal">
      <formula>"Active"</formula>
    </cfRule>
    <cfRule type="cellIs" dxfId="316" priority="268" operator="equal">
      <formula>"Non Active"</formula>
    </cfRule>
  </conditionalFormatting>
  <conditionalFormatting sqref="W1032">
    <cfRule type="cellIs" dxfId="315" priority="266" operator="equal">
      <formula>"Ad-hoc"</formula>
    </cfRule>
  </conditionalFormatting>
  <conditionalFormatting sqref="J1032:K1032">
    <cfRule type="cellIs" dxfId="314" priority="265" operator="lessThan">
      <formula>NOW()+60</formula>
    </cfRule>
  </conditionalFormatting>
  <conditionalFormatting sqref="W1033">
    <cfRule type="cellIs" dxfId="313" priority="262" operator="equal">
      <formula>"Active"</formula>
    </cfRule>
    <cfRule type="cellIs" dxfId="312" priority="263" operator="equal">
      <formula>"Non Active"</formula>
    </cfRule>
  </conditionalFormatting>
  <conditionalFormatting sqref="W1033">
    <cfRule type="cellIs" dxfId="311" priority="261" operator="equal">
      <formula>"Ad-hoc"</formula>
    </cfRule>
  </conditionalFormatting>
  <conditionalFormatting sqref="J1033:K1033">
    <cfRule type="cellIs" dxfId="310" priority="260" operator="lessThan">
      <formula>NOW()+60</formula>
    </cfRule>
  </conditionalFormatting>
  <conditionalFormatting sqref="W1034">
    <cfRule type="cellIs" dxfId="309" priority="257" operator="equal">
      <formula>"Active"</formula>
    </cfRule>
    <cfRule type="cellIs" dxfId="308" priority="258" operator="equal">
      <formula>"Non Active"</formula>
    </cfRule>
  </conditionalFormatting>
  <conditionalFormatting sqref="W1034">
    <cfRule type="cellIs" dxfId="307" priority="256" operator="equal">
      <formula>"Ad-hoc"</formula>
    </cfRule>
  </conditionalFormatting>
  <conditionalFormatting sqref="J1034:K1034">
    <cfRule type="cellIs" dxfId="306" priority="255" operator="lessThan">
      <formula>NOW()+60</formula>
    </cfRule>
  </conditionalFormatting>
  <conditionalFormatting sqref="W1035">
    <cfRule type="cellIs" dxfId="305" priority="252" operator="equal">
      <formula>"Active"</formula>
    </cfRule>
    <cfRule type="cellIs" dxfId="304" priority="253" operator="equal">
      <formula>"Non Active"</formula>
    </cfRule>
  </conditionalFormatting>
  <conditionalFormatting sqref="W1035">
    <cfRule type="cellIs" dxfId="303" priority="251" operator="equal">
      <formula>"Ad-hoc"</formula>
    </cfRule>
  </conditionalFormatting>
  <conditionalFormatting sqref="J1035:K1035">
    <cfRule type="cellIs" dxfId="302" priority="250" operator="lessThan">
      <formula>NOW()+60</formula>
    </cfRule>
  </conditionalFormatting>
  <conditionalFormatting sqref="W1036">
    <cfRule type="cellIs" dxfId="301" priority="247" operator="equal">
      <formula>"Active"</formula>
    </cfRule>
    <cfRule type="cellIs" dxfId="300" priority="248" operator="equal">
      <formula>"Non Active"</formula>
    </cfRule>
  </conditionalFormatting>
  <conditionalFormatting sqref="W1036">
    <cfRule type="cellIs" dxfId="299" priority="246" operator="equal">
      <formula>"Ad-hoc"</formula>
    </cfRule>
  </conditionalFormatting>
  <conditionalFormatting sqref="J1036:K1036">
    <cfRule type="cellIs" dxfId="298" priority="245" operator="lessThan">
      <formula>NOW()+60</formula>
    </cfRule>
  </conditionalFormatting>
  <conditionalFormatting sqref="W1037">
    <cfRule type="cellIs" dxfId="297" priority="242" operator="equal">
      <formula>"Active"</formula>
    </cfRule>
    <cfRule type="cellIs" dxfId="296" priority="243" operator="equal">
      <formula>"Non Active"</formula>
    </cfRule>
  </conditionalFormatting>
  <conditionalFormatting sqref="W1037">
    <cfRule type="cellIs" dxfId="295" priority="241" operator="equal">
      <formula>"Ad-hoc"</formula>
    </cfRule>
  </conditionalFormatting>
  <conditionalFormatting sqref="J1037:K1037">
    <cfRule type="cellIs" dxfId="294" priority="240" operator="lessThan">
      <formula>NOW()+60</formula>
    </cfRule>
  </conditionalFormatting>
  <conditionalFormatting sqref="W1038">
    <cfRule type="cellIs" dxfId="293" priority="237" operator="equal">
      <formula>"Active"</formula>
    </cfRule>
    <cfRule type="cellIs" dxfId="292" priority="238" operator="equal">
      <formula>"Non Active"</formula>
    </cfRule>
  </conditionalFormatting>
  <conditionalFormatting sqref="W1038">
    <cfRule type="cellIs" dxfId="291" priority="236" operator="equal">
      <formula>"Ad-hoc"</formula>
    </cfRule>
  </conditionalFormatting>
  <conditionalFormatting sqref="J1038:K1038">
    <cfRule type="cellIs" dxfId="290" priority="235" operator="lessThan">
      <formula>NOW()+60</formula>
    </cfRule>
  </conditionalFormatting>
  <conditionalFormatting sqref="W1039">
    <cfRule type="cellIs" dxfId="289" priority="232" operator="equal">
      <formula>"Active"</formula>
    </cfRule>
    <cfRule type="cellIs" dxfId="288" priority="233" operator="equal">
      <formula>"Non Active"</formula>
    </cfRule>
  </conditionalFormatting>
  <conditionalFormatting sqref="W1039">
    <cfRule type="cellIs" dxfId="287" priority="231" operator="equal">
      <formula>"Ad-hoc"</formula>
    </cfRule>
  </conditionalFormatting>
  <conditionalFormatting sqref="J1039:K1039">
    <cfRule type="cellIs" dxfId="286" priority="230" operator="lessThan">
      <formula>NOW()+60</formula>
    </cfRule>
  </conditionalFormatting>
  <conditionalFormatting sqref="W1040">
    <cfRule type="cellIs" dxfId="285" priority="227" operator="equal">
      <formula>"Active"</formula>
    </cfRule>
    <cfRule type="cellIs" dxfId="284" priority="228" operator="equal">
      <formula>"Non Active"</formula>
    </cfRule>
  </conditionalFormatting>
  <conditionalFormatting sqref="W1040">
    <cfRule type="cellIs" dxfId="283" priority="226" operator="equal">
      <formula>"Ad-hoc"</formula>
    </cfRule>
  </conditionalFormatting>
  <conditionalFormatting sqref="J1040:K1040">
    <cfRule type="cellIs" dxfId="282" priority="225" operator="lessThan">
      <formula>NOW()+60</formula>
    </cfRule>
  </conditionalFormatting>
  <conditionalFormatting sqref="W1041">
    <cfRule type="cellIs" dxfId="281" priority="222" operator="equal">
      <formula>"Active"</formula>
    </cfRule>
    <cfRule type="cellIs" dxfId="280" priority="223" operator="equal">
      <formula>"Non Active"</formula>
    </cfRule>
  </conditionalFormatting>
  <conditionalFormatting sqref="W1041">
    <cfRule type="cellIs" dxfId="279" priority="221" operator="equal">
      <formula>"Ad-hoc"</formula>
    </cfRule>
  </conditionalFormatting>
  <conditionalFormatting sqref="J1041:K1041">
    <cfRule type="cellIs" dxfId="278" priority="220" operator="lessThan">
      <formula>NOW()+60</formula>
    </cfRule>
  </conditionalFormatting>
  <conditionalFormatting sqref="W1042">
    <cfRule type="cellIs" dxfId="277" priority="217" operator="equal">
      <formula>"Active"</formula>
    </cfRule>
    <cfRule type="cellIs" dxfId="276" priority="218" operator="equal">
      <formula>"Non Active"</formula>
    </cfRule>
  </conditionalFormatting>
  <conditionalFormatting sqref="W1042">
    <cfRule type="cellIs" dxfId="275" priority="216" operator="equal">
      <formula>"Ad-hoc"</formula>
    </cfRule>
  </conditionalFormatting>
  <conditionalFormatting sqref="J1042:K1042">
    <cfRule type="cellIs" dxfId="274" priority="215" operator="lessThan">
      <formula>NOW()+60</formula>
    </cfRule>
  </conditionalFormatting>
  <conditionalFormatting sqref="W1043">
    <cfRule type="cellIs" dxfId="273" priority="212" operator="equal">
      <formula>"Active"</formula>
    </cfRule>
    <cfRule type="cellIs" dxfId="272" priority="213" operator="equal">
      <formula>"Non Active"</formula>
    </cfRule>
  </conditionalFormatting>
  <conditionalFormatting sqref="W1043">
    <cfRule type="cellIs" dxfId="271" priority="211" operator="equal">
      <formula>"Ad-hoc"</formula>
    </cfRule>
  </conditionalFormatting>
  <conditionalFormatting sqref="J1043:K1043">
    <cfRule type="cellIs" dxfId="270" priority="210" operator="lessThan">
      <formula>NOW()+60</formula>
    </cfRule>
  </conditionalFormatting>
  <conditionalFormatting sqref="W1044">
    <cfRule type="cellIs" dxfId="269" priority="207" operator="equal">
      <formula>"Active"</formula>
    </cfRule>
    <cfRule type="cellIs" dxfId="268" priority="208" operator="equal">
      <formula>"Non Active"</formula>
    </cfRule>
  </conditionalFormatting>
  <conditionalFormatting sqref="W1044">
    <cfRule type="cellIs" dxfId="267" priority="206" operator="equal">
      <formula>"Ad-hoc"</formula>
    </cfRule>
  </conditionalFormatting>
  <conditionalFormatting sqref="J1044:K1044">
    <cfRule type="cellIs" dxfId="266" priority="205" operator="lessThan">
      <formula>NOW()+60</formula>
    </cfRule>
  </conditionalFormatting>
  <conditionalFormatting sqref="W1045">
    <cfRule type="cellIs" dxfId="265" priority="202" operator="equal">
      <formula>"Active"</formula>
    </cfRule>
    <cfRule type="cellIs" dxfId="264" priority="203" operator="equal">
      <formula>"Non Active"</formula>
    </cfRule>
  </conditionalFormatting>
  <conditionalFormatting sqref="W1045">
    <cfRule type="cellIs" dxfId="263" priority="201" operator="equal">
      <formula>"Ad-hoc"</formula>
    </cfRule>
  </conditionalFormatting>
  <conditionalFormatting sqref="J1045:K1045">
    <cfRule type="cellIs" dxfId="262" priority="200" operator="lessThan">
      <formula>NOW()+60</formula>
    </cfRule>
  </conditionalFormatting>
  <conditionalFormatting sqref="W1047">
    <cfRule type="cellIs" dxfId="261" priority="197" operator="equal">
      <formula>"Active"</formula>
    </cfRule>
    <cfRule type="cellIs" dxfId="260" priority="198" operator="equal">
      <formula>"Non Active"</formula>
    </cfRule>
  </conditionalFormatting>
  <conditionalFormatting sqref="W1047">
    <cfRule type="cellIs" dxfId="259" priority="196" operator="equal">
      <formula>"Ad-hoc"</formula>
    </cfRule>
  </conditionalFormatting>
  <conditionalFormatting sqref="J1047:K1047">
    <cfRule type="cellIs" dxfId="258" priority="195" operator="lessThan">
      <formula>NOW()+60</formula>
    </cfRule>
  </conditionalFormatting>
  <conditionalFormatting sqref="W1088:W1089 W1048:W1053">
    <cfRule type="cellIs" dxfId="257" priority="192" operator="equal">
      <formula>"Active"</formula>
    </cfRule>
    <cfRule type="cellIs" dxfId="256" priority="193" operator="equal">
      <formula>"Non Active"</formula>
    </cfRule>
  </conditionalFormatting>
  <conditionalFormatting sqref="W1088:W1089 W1048:W1053">
    <cfRule type="cellIs" dxfId="255" priority="191" operator="equal">
      <formula>"Ad-hoc"</formula>
    </cfRule>
  </conditionalFormatting>
  <conditionalFormatting sqref="J1088:K1089 J1048:K1053">
    <cfRule type="cellIs" dxfId="254" priority="190" operator="lessThan">
      <formula>NOW()+60</formula>
    </cfRule>
  </conditionalFormatting>
  <conditionalFormatting sqref="W1054">
    <cfRule type="cellIs" dxfId="253" priority="187" operator="equal">
      <formula>"Active"</formula>
    </cfRule>
    <cfRule type="cellIs" dxfId="252" priority="188" operator="equal">
      <formula>"Non Active"</formula>
    </cfRule>
  </conditionalFormatting>
  <conditionalFormatting sqref="W1054">
    <cfRule type="cellIs" dxfId="251" priority="186" operator="equal">
      <formula>"Ad-hoc"</formula>
    </cfRule>
  </conditionalFormatting>
  <conditionalFormatting sqref="J1054:K1054">
    <cfRule type="cellIs" dxfId="250" priority="185" operator="lessThan">
      <formula>NOW()+60</formula>
    </cfRule>
  </conditionalFormatting>
  <conditionalFormatting sqref="W1092">
    <cfRule type="cellIs" dxfId="249" priority="182" operator="equal">
      <formula>"Active"</formula>
    </cfRule>
    <cfRule type="cellIs" dxfId="248" priority="183" operator="equal">
      <formula>"Non Active"</formula>
    </cfRule>
  </conditionalFormatting>
  <conditionalFormatting sqref="W1092">
    <cfRule type="cellIs" dxfId="247" priority="181" operator="equal">
      <formula>"Ad-hoc"</formula>
    </cfRule>
  </conditionalFormatting>
  <conditionalFormatting sqref="T1093">
    <cfRule type="cellIs" dxfId="246" priority="180" operator="equal">
      <formula>"Resource Request"</formula>
    </cfRule>
  </conditionalFormatting>
  <conditionalFormatting sqref="U1093:V1093">
    <cfRule type="cellIs" dxfId="245" priority="178" operator="equal">
      <formula>"Active"</formula>
    </cfRule>
    <cfRule type="cellIs" dxfId="244" priority="179" operator="equal">
      <formula>"Non Active"</formula>
    </cfRule>
  </conditionalFormatting>
  <conditionalFormatting sqref="U1093:V1093">
    <cfRule type="cellIs" dxfId="243" priority="177" operator="equal">
      <formula>"Ad-hoc"</formula>
    </cfRule>
  </conditionalFormatting>
  <conditionalFormatting sqref="T1094">
    <cfRule type="cellIs" dxfId="242" priority="176" operator="equal">
      <formula>"Resource Request"</formula>
    </cfRule>
  </conditionalFormatting>
  <conditionalFormatting sqref="U1094:V1094">
    <cfRule type="cellIs" dxfId="241" priority="174" operator="equal">
      <formula>"Active"</formula>
    </cfRule>
    <cfRule type="cellIs" dxfId="240" priority="175" operator="equal">
      <formula>"Non Active"</formula>
    </cfRule>
  </conditionalFormatting>
  <conditionalFormatting sqref="U1094:V1094">
    <cfRule type="cellIs" dxfId="239" priority="173" operator="equal">
      <formula>"Ad-hoc"</formula>
    </cfRule>
  </conditionalFormatting>
  <conditionalFormatting sqref="T1095">
    <cfRule type="cellIs" dxfId="238" priority="172" operator="equal">
      <formula>"Resource Request"</formula>
    </cfRule>
  </conditionalFormatting>
  <conditionalFormatting sqref="U1095:V1095">
    <cfRule type="cellIs" dxfId="237" priority="170" operator="equal">
      <formula>"Active"</formula>
    </cfRule>
    <cfRule type="cellIs" dxfId="236" priority="171" operator="equal">
      <formula>"Non Active"</formula>
    </cfRule>
  </conditionalFormatting>
  <conditionalFormatting sqref="U1095:V1095">
    <cfRule type="cellIs" dxfId="235" priority="169" operator="equal">
      <formula>"Ad-hoc"</formula>
    </cfRule>
  </conditionalFormatting>
  <conditionalFormatting sqref="W1096">
    <cfRule type="cellIs" dxfId="234" priority="166" operator="equal">
      <formula>"Active"</formula>
    </cfRule>
    <cfRule type="cellIs" dxfId="233" priority="167" operator="equal">
      <formula>"Non Active"</formula>
    </cfRule>
  </conditionalFormatting>
  <conditionalFormatting sqref="W1096">
    <cfRule type="cellIs" dxfId="232" priority="165" operator="equal">
      <formula>"Ad-hoc"</formula>
    </cfRule>
  </conditionalFormatting>
  <conditionalFormatting sqref="W1097">
    <cfRule type="cellIs" dxfId="231" priority="162" operator="equal">
      <formula>"Active"</formula>
    </cfRule>
    <cfRule type="cellIs" dxfId="230" priority="163" operator="equal">
      <formula>"Non Active"</formula>
    </cfRule>
  </conditionalFormatting>
  <conditionalFormatting sqref="W1097">
    <cfRule type="cellIs" dxfId="229" priority="161" operator="equal">
      <formula>"Ad-hoc"</formula>
    </cfRule>
  </conditionalFormatting>
  <conditionalFormatting sqref="W1076">
    <cfRule type="cellIs" dxfId="228" priority="158" operator="equal">
      <formula>"Active"</formula>
    </cfRule>
    <cfRule type="cellIs" dxfId="227" priority="159" operator="equal">
      <formula>"Non Active"</formula>
    </cfRule>
  </conditionalFormatting>
  <conditionalFormatting sqref="W1076">
    <cfRule type="cellIs" dxfId="226" priority="157" operator="equal">
      <formula>"Ad-hoc"</formula>
    </cfRule>
  </conditionalFormatting>
  <conditionalFormatting sqref="W1077">
    <cfRule type="cellIs" dxfId="225" priority="154" operator="equal">
      <formula>"Active"</formula>
    </cfRule>
    <cfRule type="cellIs" dxfId="224" priority="155" operator="equal">
      <formula>"Non Active"</formula>
    </cfRule>
  </conditionalFormatting>
  <conditionalFormatting sqref="W1077">
    <cfRule type="cellIs" dxfId="223" priority="153" operator="equal">
      <formula>"Ad-hoc"</formula>
    </cfRule>
  </conditionalFormatting>
  <conditionalFormatting sqref="W1078">
    <cfRule type="cellIs" dxfId="222" priority="150" operator="equal">
      <formula>"Active"</formula>
    </cfRule>
    <cfRule type="cellIs" dxfId="221" priority="151" operator="equal">
      <formula>"Non Active"</formula>
    </cfRule>
  </conditionalFormatting>
  <conditionalFormatting sqref="W1078">
    <cfRule type="cellIs" dxfId="220" priority="149" operator="equal">
      <formula>"Ad-hoc"</formula>
    </cfRule>
  </conditionalFormatting>
  <conditionalFormatting sqref="W1079">
    <cfRule type="cellIs" dxfId="219" priority="146" operator="equal">
      <formula>"Active"</formula>
    </cfRule>
    <cfRule type="cellIs" dxfId="218" priority="147" operator="equal">
      <formula>"Non Active"</formula>
    </cfRule>
  </conditionalFormatting>
  <conditionalFormatting sqref="W1079">
    <cfRule type="cellIs" dxfId="217" priority="145" operator="equal">
      <formula>"Ad-hoc"</formula>
    </cfRule>
  </conditionalFormatting>
  <conditionalFormatting sqref="W1080">
    <cfRule type="cellIs" dxfId="216" priority="142" operator="equal">
      <formula>"Active"</formula>
    </cfRule>
    <cfRule type="cellIs" dxfId="215" priority="143" operator="equal">
      <formula>"Non Active"</formula>
    </cfRule>
  </conditionalFormatting>
  <conditionalFormatting sqref="W1080">
    <cfRule type="cellIs" dxfId="214" priority="141" operator="equal">
      <formula>"Ad-hoc"</formula>
    </cfRule>
  </conditionalFormatting>
  <conditionalFormatting sqref="W1081">
    <cfRule type="cellIs" dxfId="213" priority="138" operator="equal">
      <formula>"Active"</formula>
    </cfRule>
    <cfRule type="cellIs" dxfId="212" priority="139" operator="equal">
      <formula>"Non Active"</formula>
    </cfRule>
  </conditionalFormatting>
  <conditionalFormatting sqref="W1081">
    <cfRule type="cellIs" dxfId="211" priority="137" operator="equal">
      <formula>"Ad-hoc"</formula>
    </cfRule>
  </conditionalFormatting>
  <conditionalFormatting sqref="W1082">
    <cfRule type="cellIs" dxfId="210" priority="134" operator="equal">
      <formula>"Active"</formula>
    </cfRule>
    <cfRule type="cellIs" dxfId="209" priority="135" operator="equal">
      <formula>"Non Active"</formula>
    </cfRule>
  </conditionalFormatting>
  <conditionalFormatting sqref="W1082">
    <cfRule type="cellIs" dxfId="208" priority="133" operator="equal">
      <formula>"Ad-hoc"</formula>
    </cfRule>
  </conditionalFormatting>
  <conditionalFormatting sqref="W1083">
    <cfRule type="cellIs" dxfId="207" priority="130" operator="equal">
      <formula>"Active"</formula>
    </cfRule>
    <cfRule type="cellIs" dxfId="206" priority="131" operator="equal">
      <formula>"Non Active"</formula>
    </cfRule>
  </conditionalFormatting>
  <conditionalFormatting sqref="W1083">
    <cfRule type="cellIs" dxfId="205" priority="129" operator="equal">
      <formula>"Ad-hoc"</formula>
    </cfRule>
  </conditionalFormatting>
  <conditionalFormatting sqref="W1084">
    <cfRule type="cellIs" dxfId="204" priority="126" operator="equal">
      <formula>"Active"</formula>
    </cfRule>
    <cfRule type="cellIs" dxfId="203" priority="127" operator="equal">
      <formula>"Non Active"</formula>
    </cfRule>
  </conditionalFormatting>
  <conditionalFormatting sqref="W1084">
    <cfRule type="cellIs" dxfId="202" priority="125" operator="equal">
      <formula>"Ad-hoc"</formula>
    </cfRule>
  </conditionalFormatting>
  <conditionalFormatting sqref="W1085">
    <cfRule type="cellIs" dxfId="201" priority="122" operator="equal">
      <formula>"Active"</formula>
    </cfRule>
    <cfRule type="cellIs" dxfId="200" priority="123" operator="equal">
      <formula>"Non Active"</formula>
    </cfRule>
  </conditionalFormatting>
  <conditionalFormatting sqref="W1085">
    <cfRule type="cellIs" dxfId="199" priority="121" operator="equal">
      <formula>"Ad-hoc"</formula>
    </cfRule>
  </conditionalFormatting>
  <conditionalFormatting sqref="W1086">
    <cfRule type="cellIs" dxfId="198" priority="118" operator="equal">
      <formula>"Active"</formula>
    </cfRule>
    <cfRule type="cellIs" dxfId="197" priority="119" operator="equal">
      <formula>"Non Active"</formula>
    </cfRule>
  </conditionalFormatting>
  <conditionalFormatting sqref="W1086">
    <cfRule type="cellIs" dxfId="196" priority="117" operator="equal">
      <formula>"Ad-hoc"</formula>
    </cfRule>
  </conditionalFormatting>
  <conditionalFormatting sqref="W1087">
    <cfRule type="cellIs" dxfId="195" priority="114" operator="equal">
      <formula>"Active"</formula>
    </cfRule>
    <cfRule type="cellIs" dxfId="194" priority="115" operator="equal">
      <formula>"Non Active"</formula>
    </cfRule>
  </conditionalFormatting>
  <conditionalFormatting sqref="W1087">
    <cfRule type="cellIs" dxfId="193" priority="113" operator="equal">
      <formula>"Ad-hoc"</formula>
    </cfRule>
  </conditionalFormatting>
  <conditionalFormatting sqref="W1117">
    <cfRule type="cellIs" dxfId="192" priority="112" operator="equal">
      <formula>"Resource Request"</formula>
    </cfRule>
  </conditionalFormatting>
  <conditionalFormatting sqref="W1115">
    <cfRule type="cellIs" dxfId="191" priority="111" operator="equal">
      <formula>"Resource Request"</formula>
    </cfRule>
  </conditionalFormatting>
  <conditionalFormatting sqref="W1118">
    <cfRule type="cellIs" dxfId="190" priority="110" operator="equal">
      <formula>"Resource Request"</formula>
    </cfRule>
  </conditionalFormatting>
  <conditionalFormatting sqref="W1119">
    <cfRule type="cellIs" dxfId="189" priority="109" operator="equal">
      <formula>"Resource Request"</formula>
    </cfRule>
  </conditionalFormatting>
  <conditionalFormatting sqref="W1120">
    <cfRule type="cellIs" dxfId="188" priority="108" operator="equal">
      <formula>"Resource Request"</formula>
    </cfRule>
  </conditionalFormatting>
  <conditionalFormatting sqref="W1123">
    <cfRule type="cellIs" dxfId="187" priority="107" operator="equal">
      <formula>"Resource Request"</formula>
    </cfRule>
  </conditionalFormatting>
  <conditionalFormatting sqref="W1124">
    <cfRule type="cellIs" dxfId="186" priority="106" operator="equal">
      <formula>"Resource Request"</formula>
    </cfRule>
  </conditionalFormatting>
  <conditionalFormatting sqref="W1125">
    <cfRule type="cellIs" dxfId="185" priority="105" operator="equal">
      <formula>"Resource Request"</formula>
    </cfRule>
  </conditionalFormatting>
  <conditionalFormatting sqref="W1126">
    <cfRule type="cellIs" dxfId="184" priority="104" operator="equal">
      <formula>"Resource Request"</formula>
    </cfRule>
  </conditionalFormatting>
  <conditionalFormatting sqref="W1127">
    <cfRule type="cellIs" dxfId="183" priority="103" operator="equal">
      <formula>"Resource Request"</formula>
    </cfRule>
  </conditionalFormatting>
  <conditionalFormatting sqref="W1128">
    <cfRule type="cellIs" dxfId="182" priority="102" operator="equal">
      <formula>"Resource Request"</formula>
    </cfRule>
  </conditionalFormatting>
  <conditionalFormatting sqref="W1129">
    <cfRule type="cellIs" dxfId="181" priority="101" operator="equal">
      <formula>"Resource Request"</formula>
    </cfRule>
  </conditionalFormatting>
  <conditionalFormatting sqref="W1130">
    <cfRule type="cellIs" dxfId="180" priority="100" operator="equal">
      <formula>"Resource Request"</formula>
    </cfRule>
  </conditionalFormatting>
  <conditionalFormatting sqref="W1132">
    <cfRule type="cellIs" dxfId="179" priority="99" operator="equal">
      <formula>"Resource Request"</formula>
    </cfRule>
  </conditionalFormatting>
  <conditionalFormatting sqref="W1133">
    <cfRule type="cellIs" dxfId="178" priority="98" operator="equal">
      <formula>"Resource Request"</formula>
    </cfRule>
  </conditionalFormatting>
  <conditionalFormatting sqref="W1134">
    <cfRule type="cellIs" dxfId="177" priority="97" operator="equal">
      <formula>"Resource Request"</formula>
    </cfRule>
  </conditionalFormatting>
  <conditionalFormatting sqref="W1135">
    <cfRule type="cellIs" dxfId="176" priority="96" operator="equal">
      <formula>"Resource Request"</formula>
    </cfRule>
  </conditionalFormatting>
  <conditionalFormatting sqref="W1136">
    <cfRule type="cellIs" dxfId="175" priority="95" operator="equal">
      <formula>"Resource Request"</formula>
    </cfRule>
  </conditionalFormatting>
  <conditionalFormatting sqref="W1138">
    <cfRule type="cellIs" dxfId="174" priority="94" operator="equal">
      <formula>"Resource Request"</formula>
    </cfRule>
  </conditionalFormatting>
  <conditionalFormatting sqref="W1139">
    <cfRule type="cellIs" dxfId="173" priority="93" operator="equal">
      <formula>"Resource Request"</formula>
    </cfRule>
  </conditionalFormatting>
  <conditionalFormatting sqref="W1140">
    <cfRule type="cellIs" dxfId="172" priority="92" operator="equal">
      <formula>"Resource Request"</formula>
    </cfRule>
  </conditionalFormatting>
  <conditionalFormatting sqref="W1141">
    <cfRule type="cellIs" dxfId="171" priority="91" operator="equal">
      <formula>"Resource Request"</formula>
    </cfRule>
  </conditionalFormatting>
  <conditionalFormatting sqref="W1142">
    <cfRule type="cellIs" dxfId="170" priority="90" operator="equal">
      <formula>"Resource Request"</formula>
    </cfRule>
  </conditionalFormatting>
  <conditionalFormatting sqref="W1143">
    <cfRule type="cellIs" dxfId="169" priority="89" operator="equal">
      <formula>"Resource Request"</formula>
    </cfRule>
  </conditionalFormatting>
  <conditionalFormatting sqref="W1144">
    <cfRule type="cellIs" dxfId="168" priority="88" operator="equal">
      <formula>"Resource Request"</formula>
    </cfRule>
  </conditionalFormatting>
  <conditionalFormatting sqref="W1145">
    <cfRule type="cellIs" dxfId="167" priority="87" operator="equal">
      <formula>"Resource Request"</formula>
    </cfRule>
  </conditionalFormatting>
  <conditionalFormatting sqref="W1146">
    <cfRule type="cellIs" dxfId="166" priority="86" operator="equal">
      <formula>"Resource Request"</formula>
    </cfRule>
  </conditionalFormatting>
  <conditionalFormatting sqref="W1147">
    <cfRule type="cellIs" dxfId="165" priority="85" operator="equal">
      <formula>"Resource Request"</formula>
    </cfRule>
  </conditionalFormatting>
  <conditionalFormatting sqref="W1148">
    <cfRule type="cellIs" dxfId="164" priority="84" operator="equal">
      <formula>"Resource Request"</formula>
    </cfRule>
  </conditionalFormatting>
  <conditionalFormatting sqref="W1149">
    <cfRule type="cellIs" dxfId="163" priority="83" operator="equal">
      <formula>"Resource Request"</formula>
    </cfRule>
  </conditionalFormatting>
  <conditionalFormatting sqref="W1151">
    <cfRule type="cellIs" dxfId="162" priority="82" operator="equal">
      <formula>"Resource Request"</formula>
    </cfRule>
  </conditionalFormatting>
  <conditionalFormatting sqref="W1152">
    <cfRule type="cellIs" dxfId="161" priority="81" operator="equal">
      <formula>"Resource Request"</formula>
    </cfRule>
  </conditionalFormatting>
  <conditionalFormatting sqref="W1153">
    <cfRule type="cellIs" dxfId="160" priority="80" operator="equal">
      <formula>"Resource Request"</formula>
    </cfRule>
  </conditionalFormatting>
  <conditionalFormatting sqref="W1156">
    <cfRule type="cellIs" dxfId="159" priority="79" operator="equal">
      <formula>"Resource Request"</formula>
    </cfRule>
  </conditionalFormatting>
  <conditionalFormatting sqref="W1157">
    <cfRule type="cellIs" dxfId="158" priority="78" operator="equal">
      <formula>"Resource Request"</formula>
    </cfRule>
  </conditionalFormatting>
  <conditionalFormatting sqref="W1158">
    <cfRule type="cellIs" dxfId="157" priority="77" operator="equal">
      <formula>"Resource Request"</formula>
    </cfRule>
  </conditionalFormatting>
  <conditionalFormatting sqref="W1159">
    <cfRule type="cellIs" dxfId="156" priority="76" operator="equal">
      <formula>"Resource Request"</formula>
    </cfRule>
  </conditionalFormatting>
  <conditionalFormatting sqref="W1160">
    <cfRule type="cellIs" dxfId="155" priority="75" operator="equal">
      <formula>"Resource Request"</formula>
    </cfRule>
  </conditionalFormatting>
  <conditionalFormatting sqref="W1162">
    <cfRule type="cellIs" dxfId="154" priority="74" operator="equal">
      <formula>"Resource Request"</formula>
    </cfRule>
  </conditionalFormatting>
  <conditionalFormatting sqref="W1163">
    <cfRule type="cellIs" dxfId="153" priority="73" operator="equal">
      <formula>"Resource Request"</formula>
    </cfRule>
  </conditionalFormatting>
  <conditionalFormatting sqref="W1164">
    <cfRule type="cellIs" dxfId="152" priority="72" operator="equal">
      <formula>"Resource Request"</formula>
    </cfRule>
  </conditionalFormatting>
  <conditionalFormatting sqref="W1165">
    <cfRule type="cellIs" dxfId="151" priority="71" operator="equal">
      <formula>"Resource Request"</formula>
    </cfRule>
  </conditionalFormatting>
  <conditionalFormatting sqref="W1167">
    <cfRule type="cellIs" dxfId="150" priority="70" operator="equal">
      <formula>"Resource Request"</formula>
    </cfRule>
  </conditionalFormatting>
  <conditionalFormatting sqref="W1168">
    <cfRule type="cellIs" dxfId="149" priority="69" operator="equal">
      <formula>"Resource Request"</formula>
    </cfRule>
  </conditionalFormatting>
  <conditionalFormatting sqref="W1169">
    <cfRule type="cellIs" dxfId="148" priority="68" operator="equal">
      <formula>"Resource Request"</formula>
    </cfRule>
  </conditionalFormatting>
  <conditionalFormatting sqref="W1170">
    <cfRule type="cellIs" dxfId="147" priority="67" operator="equal">
      <formula>"Resource Request"</formula>
    </cfRule>
  </conditionalFormatting>
  <conditionalFormatting sqref="W1171">
    <cfRule type="cellIs" dxfId="146" priority="66" operator="equal">
      <formula>"Resource Request"</formula>
    </cfRule>
  </conditionalFormatting>
  <conditionalFormatting sqref="W1172">
    <cfRule type="cellIs" dxfId="145" priority="65" operator="equal">
      <formula>"Resource Request"</formula>
    </cfRule>
  </conditionalFormatting>
  <conditionalFormatting sqref="W1173">
    <cfRule type="cellIs" dxfId="144" priority="64" operator="equal">
      <formula>"Resource Request"</formula>
    </cfRule>
  </conditionalFormatting>
  <conditionalFormatting sqref="W1174">
    <cfRule type="cellIs" dxfId="143" priority="63" operator="equal">
      <formula>"Resource Request"</formula>
    </cfRule>
  </conditionalFormatting>
  <conditionalFormatting sqref="W1175">
    <cfRule type="cellIs" dxfId="142" priority="62" operator="equal">
      <formula>"Resource Request"</formula>
    </cfRule>
  </conditionalFormatting>
  <conditionalFormatting sqref="W1176">
    <cfRule type="cellIs" dxfId="141" priority="61" operator="equal">
      <formula>"Resource Request"</formula>
    </cfRule>
  </conditionalFormatting>
  <conditionalFormatting sqref="W1177">
    <cfRule type="cellIs" dxfId="140" priority="60" operator="equal">
      <formula>"Resource Request"</formula>
    </cfRule>
  </conditionalFormatting>
  <conditionalFormatting sqref="W1178">
    <cfRule type="cellIs" dxfId="139" priority="59" operator="equal">
      <formula>"Resource Request"</formula>
    </cfRule>
  </conditionalFormatting>
  <conditionalFormatting sqref="W1179">
    <cfRule type="cellIs" dxfId="138" priority="58" operator="equal">
      <formula>"Resource Request"</formula>
    </cfRule>
  </conditionalFormatting>
  <conditionalFormatting sqref="AB14">
    <cfRule type="timePeriod" dxfId="137" priority="57" timePeriod="last7Days">
      <formula>AND(TODAY()-FLOOR(AB14,1)&lt;=6,FLOOR(AB14,1)&lt;=TODAY())</formula>
    </cfRule>
  </conditionalFormatting>
  <conditionalFormatting sqref="N1381">
    <cfRule type="cellIs" dxfId="136" priority="54" operator="between">
      <formula>TODAY()+1</formula>
      <formula>TODAY()+120</formula>
    </cfRule>
    <cfRule type="cellIs" dxfId="135" priority="55" operator="between">
      <formula>TODAY()+120</formula>
      <formula>TODAY()+5000</formula>
    </cfRule>
    <cfRule type="cellIs" dxfId="134" priority="56" operator="between">
      <formula>TODAY()</formula>
      <formula>TODAY()-5000</formula>
    </cfRule>
  </conditionalFormatting>
  <conditionalFormatting sqref="U1414:V1414">
    <cfRule type="cellIs" dxfId="133" priority="46" operator="equal">
      <formula>"Active"</formula>
    </cfRule>
    <cfRule type="cellIs" dxfId="132" priority="47" operator="equal">
      <formula>"Non Active"</formula>
    </cfRule>
  </conditionalFormatting>
  <conditionalFormatting sqref="U1414:V1414">
    <cfRule type="cellIs" dxfId="131" priority="45" operator="equal">
      <formula>"Ad-hoc"</formula>
    </cfRule>
  </conditionalFormatting>
  <conditionalFormatting sqref="AB1415">
    <cfRule type="timePeriod" dxfId="130" priority="41" timePeriod="last7Days">
      <formula>AND(TODAY()-FLOOR(AB1415,1)&lt;=6,FLOOR(AB1415,1)&lt;=TODAY())</formula>
    </cfRule>
  </conditionalFormatting>
  <conditionalFormatting sqref="AB1415">
    <cfRule type="cellIs" dxfId="129" priority="40" operator="equal">
      <formula>"Quotation"</formula>
    </cfRule>
  </conditionalFormatting>
  <conditionalFormatting sqref="AB1416">
    <cfRule type="timePeriod" dxfId="128" priority="39" timePeriod="last7Days">
      <formula>AND(TODAY()-FLOOR(AB1416,1)&lt;=6,FLOOR(AB1416,1)&lt;=TODAY())</formula>
    </cfRule>
  </conditionalFormatting>
  <conditionalFormatting sqref="AB1417">
    <cfRule type="timePeriod" dxfId="127" priority="38" timePeriod="last7Days">
      <formula>AND(TODAY()-FLOOR(AB1417,1)&lt;=6,FLOOR(AB1417,1)&lt;=TODAY())</formula>
    </cfRule>
  </conditionalFormatting>
  <conditionalFormatting sqref="AB1418:AB1422">
    <cfRule type="timePeriod" dxfId="126" priority="37" timePeriod="last7Days">
      <formula>AND(TODAY()-FLOOR(AB1418,1)&lt;=6,FLOOR(AB1418,1)&lt;=TODAY())</formula>
    </cfRule>
  </conditionalFormatting>
  <conditionalFormatting sqref="AB1423">
    <cfRule type="timePeriod" dxfId="125" priority="36" timePeriod="last7Days">
      <formula>AND(TODAY()-FLOOR(AB1423,1)&lt;=6,FLOOR(AB1423,1)&lt;=TODAY())</formula>
    </cfRule>
  </conditionalFormatting>
  <conditionalFormatting sqref="AB1424">
    <cfRule type="timePeriod" dxfId="124" priority="35" timePeriod="last7Days">
      <formula>AND(TODAY()-FLOOR(AB1424,1)&lt;=6,FLOOR(AB1424,1)&lt;=TODAY())</formula>
    </cfRule>
  </conditionalFormatting>
  <conditionalFormatting sqref="AB1425">
    <cfRule type="timePeriod" dxfId="123" priority="34" timePeriod="last7Days">
      <formula>AND(TODAY()-FLOOR(AB1425,1)&lt;=6,FLOOR(AB1425,1)&lt;=TODAY())</formula>
    </cfRule>
  </conditionalFormatting>
  <conditionalFormatting sqref="AB1425">
    <cfRule type="timePeriod" dxfId="122" priority="33" timePeriod="last7Days">
      <formula>AND(TODAY()-FLOOR(AB1425,1)&lt;=6,FLOOR(AB1425,1)&lt;=TODAY())</formula>
    </cfRule>
  </conditionalFormatting>
  <conditionalFormatting sqref="AB1426">
    <cfRule type="timePeriod" dxfId="121" priority="32" timePeriod="last7Days">
      <formula>AND(TODAY()-FLOOR(AB1426,1)&lt;=6,FLOOR(AB1426,1)&lt;=TODAY())</formula>
    </cfRule>
  </conditionalFormatting>
  <conditionalFormatting sqref="AB1427">
    <cfRule type="timePeriod" dxfId="120" priority="31" timePeriod="last7Days">
      <formula>AND(TODAY()-FLOOR(AB1427,1)&lt;=6,FLOOR(AB1427,1)&lt;=TODAY())</formula>
    </cfRule>
  </conditionalFormatting>
  <conditionalFormatting sqref="AC1428">
    <cfRule type="timePeriod" dxfId="119" priority="30" timePeriod="last7Days">
      <formula>AND(TODAY()-FLOOR(AC1428,1)&lt;=6,FLOOR(AC1428,1)&lt;=TODAY())</formula>
    </cfRule>
  </conditionalFormatting>
  <conditionalFormatting sqref="AC1428">
    <cfRule type="cellIs" dxfId="118" priority="29" operator="equal">
      <formula>"Quotation"</formula>
    </cfRule>
  </conditionalFormatting>
  <conditionalFormatting sqref="AC1429">
    <cfRule type="timePeriod" dxfId="117" priority="28" timePeriod="last7Days">
      <formula>AND(TODAY()-FLOOR(AC1429,1)&lt;=6,FLOOR(AC1429,1)&lt;=TODAY())</formula>
    </cfRule>
  </conditionalFormatting>
  <conditionalFormatting sqref="AC1430">
    <cfRule type="timePeriod" dxfId="116" priority="27" timePeriod="last7Days">
      <formula>AND(TODAY()-FLOOR(AC1430,1)&lt;=6,FLOOR(AC1430,1)&lt;=TODAY())</formula>
    </cfRule>
  </conditionalFormatting>
  <conditionalFormatting sqref="AC1431">
    <cfRule type="timePeriod" dxfId="115" priority="26" timePeriod="last7Days">
      <formula>AND(TODAY()-FLOOR(AC1431,1)&lt;=6,FLOOR(AC1431,1)&lt;=TODAY())</formula>
    </cfRule>
  </conditionalFormatting>
  <conditionalFormatting sqref="AC1431">
    <cfRule type="timePeriod" dxfId="114" priority="25" timePeriod="last7Days">
      <formula>AND(TODAY()-FLOOR(AC1431,1)&lt;=6,FLOOR(AC1431,1)&lt;=TODAY())</formula>
    </cfRule>
  </conditionalFormatting>
  <conditionalFormatting sqref="AD1432">
    <cfRule type="timePeriod" dxfId="113" priority="24" timePeriod="last7Days">
      <formula>AND(TODAY()-FLOOR(AD1432,1)&lt;=6,FLOOR(AD1432,1)&lt;=TODAY())</formula>
    </cfRule>
  </conditionalFormatting>
  <conditionalFormatting sqref="AD1433">
    <cfRule type="timePeriod" dxfId="112" priority="23" timePeriod="last7Days">
      <formula>AND(TODAY()-FLOOR(AD1433,1)&lt;=6,FLOOR(AD1433,1)&lt;=TODAY())</formula>
    </cfRule>
  </conditionalFormatting>
  <conditionalFormatting sqref="AD1434">
    <cfRule type="timePeriod" dxfId="111" priority="22" timePeriod="last7Days">
      <formula>AND(TODAY()-FLOOR(AD1434,1)&lt;=6,FLOOR(AD1434,1)&lt;=TODAY())</formula>
    </cfRule>
  </conditionalFormatting>
  <conditionalFormatting sqref="AD1435">
    <cfRule type="timePeriod" dxfId="110" priority="21" timePeriod="last7Days">
      <formula>AND(TODAY()-FLOOR(AD1435,1)&lt;=6,FLOOR(AD1435,1)&lt;=TODAY())</formula>
    </cfRule>
  </conditionalFormatting>
  <conditionalFormatting sqref="AB1436">
    <cfRule type="timePeriod" dxfId="109" priority="20" timePeriod="last7Days">
      <formula>AND(TODAY()-FLOOR(AB1436,1)&lt;=6,FLOOR(AB1436,1)&lt;=TODAY())</formula>
    </cfRule>
  </conditionalFormatting>
  <conditionalFormatting sqref="AB1437:AB1438">
    <cfRule type="timePeriod" dxfId="108" priority="19" timePeriod="last7Days">
      <formula>AND(TODAY()-FLOOR(AB1437,1)&lt;=6,FLOOR(AB1437,1)&lt;=TODAY())</formula>
    </cfRule>
  </conditionalFormatting>
  <conditionalFormatting sqref="AB1437">
    <cfRule type="cellIs" dxfId="107" priority="18" operator="equal">
      <formula>"Quotation"</formula>
    </cfRule>
  </conditionalFormatting>
  <conditionalFormatting sqref="AB1439">
    <cfRule type="timePeriod" dxfId="106" priority="17" timePeriod="last7Days">
      <formula>AND(TODAY()-FLOOR(AB1439,1)&lt;=6,FLOOR(AB1439,1)&lt;=TODAY())</formula>
    </cfRule>
  </conditionalFormatting>
  <conditionalFormatting sqref="AB1439">
    <cfRule type="cellIs" dxfId="105" priority="16" operator="equal">
      <formula>"Quotation"</formula>
    </cfRule>
  </conditionalFormatting>
  <conditionalFormatting sqref="AB1440">
    <cfRule type="timePeriod" dxfId="104" priority="15" timePeriod="last7Days">
      <formula>AND(TODAY()-FLOOR(AB1440,1)&lt;=6,FLOOR(AB1440,1)&lt;=TODAY())</formula>
    </cfRule>
  </conditionalFormatting>
  <conditionalFormatting sqref="AB1443">
    <cfRule type="timePeriod" dxfId="103" priority="14" timePeriod="last7Days">
      <formula>AND(TODAY()-FLOOR(AB1443,1)&lt;=6,FLOOR(AB1443,1)&lt;=TODAY())</formula>
    </cfRule>
  </conditionalFormatting>
  <conditionalFormatting sqref="AB1443">
    <cfRule type="timePeriod" dxfId="102" priority="13" timePeriod="last7Days">
      <formula>AND(TODAY()-FLOOR(AB1443,1)&lt;=6,FLOOR(AB1443,1)&lt;=TODAY())</formula>
    </cfRule>
  </conditionalFormatting>
  <conditionalFormatting sqref="AB1443">
    <cfRule type="cellIs" dxfId="101" priority="12" operator="equal">
      <formula>"Quotation"</formula>
    </cfRule>
  </conditionalFormatting>
  <conditionalFormatting sqref="AB1444">
    <cfRule type="timePeriod" dxfId="100" priority="11" timePeriod="last7Days">
      <formula>AND(TODAY()-FLOOR(AB1444,1)&lt;=6,FLOOR(AB1444,1)&lt;=TODAY())</formula>
    </cfRule>
  </conditionalFormatting>
  <conditionalFormatting sqref="AB1445">
    <cfRule type="timePeriod" dxfId="99" priority="10" timePeriod="last7Days">
      <formula>AND(TODAY()-FLOOR(AB1445,1)&lt;=6,FLOOR(AB1445,1)&lt;=TODAY())</formula>
    </cfRule>
  </conditionalFormatting>
  <conditionalFormatting sqref="AB1445">
    <cfRule type="timePeriod" dxfId="98" priority="9" timePeriod="last7Days">
      <formula>AND(TODAY()-FLOOR(AB1445,1)&lt;=6,FLOOR(AB1445,1)&lt;=TODAY())</formula>
    </cfRule>
  </conditionalFormatting>
  <conditionalFormatting sqref="AB1446">
    <cfRule type="timePeriod" dxfId="97" priority="8" timePeriod="last7Days">
      <formula>AND(TODAY()-FLOOR(AB1446,1)&lt;=6,FLOOR(AB1446,1)&lt;=TODAY())</formula>
    </cfRule>
  </conditionalFormatting>
  <conditionalFormatting sqref="AB1448">
    <cfRule type="timePeriod" dxfId="96" priority="7" timePeriod="last7Days">
      <formula>AND(TODAY()-FLOOR(AB1448,1)&lt;=6,FLOOR(AB1448,1)&lt;=TODAY())</formula>
    </cfRule>
  </conditionalFormatting>
  <conditionalFormatting sqref="AB1449">
    <cfRule type="timePeriod" dxfId="95" priority="6" timePeriod="last7Days">
      <formula>AND(TODAY()-FLOOR(AB1449,1)&lt;=6,FLOOR(AB1449,1)&lt;=TODAY())</formula>
    </cfRule>
  </conditionalFormatting>
  <conditionalFormatting sqref="AB1449">
    <cfRule type="timePeriod" dxfId="94" priority="5" timePeriod="last7Days">
      <formula>AND(TODAY()-FLOOR(AB1449,1)&lt;=6,FLOOR(AB1449,1)&lt;=TODAY())</formula>
    </cfRule>
  </conditionalFormatting>
  <conditionalFormatting sqref="AB1557">
    <cfRule type="timePeriod" dxfId="93" priority="4" timePeriod="last7Days">
      <formula>AND(TODAY()-FLOOR(AB1557,1)&lt;=6,FLOOR(AB1557,1)&lt;=TODAY())</formula>
    </cfRule>
  </conditionalFormatting>
  <conditionalFormatting sqref="AB1558">
    <cfRule type="timePeriod" dxfId="92" priority="3" timePeriod="last7Days">
      <formula>AND(TODAY()-FLOOR(AB1558,1)&lt;=6,FLOOR(AB1558,1)&lt;=TODAY())</formula>
    </cfRule>
  </conditionalFormatting>
  <conditionalFormatting sqref="AB1559">
    <cfRule type="timePeriod" dxfId="91" priority="2" timePeriod="last7Days">
      <formula>AND(TODAY()-FLOOR(AB1559,1)&lt;=6,FLOOR(AB1559,1)&lt;=TODAY())</formula>
    </cfRule>
  </conditionalFormatting>
  <conditionalFormatting sqref="AB1441">
    <cfRule type="timePeriod" dxfId="90" priority="1" timePeriod="last7Days">
      <formula>AND(TODAY()-FLOOR(AB1441,1)&lt;=6,FLOOR(AB1441,1)&lt;=TODAY())</formula>
    </cfRule>
  </conditionalFormatting>
  <dataValidations count="22">
    <dataValidation type="list" allowBlank="1" showInputMessage="1" showErrorMessage="1" sqref="F1 H1432:H1435 F1436:F1441 F1557:F1559 F1448:F1449 F1443:F1446" xr:uid="{CD1D5F0F-5884-4F87-B5F8-975A9E950282}">
      <formula1>"CYPS,HAS,Resources,CD,Environment,HR_BS,LE,LDS"</formula1>
    </dataValidation>
    <dataValidation type="list" allowBlank="1" showInputMessage="1" showErrorMessage="1" sqref="W1020:W1045 W1047:W1054 R1020:R1026 S1117:S1166 S1115 R1076:R1087 R1093:R1097 W1156:W1166 W1151:W1153 W1138:W1149 T1093:V1095 W1117:W1120 W1123:W1132 W1134:W1136 T376 H461 H466 AA420:AA429 S420:S429 S440:S472 AA440:AA464 AA466:AA472 X441:X472 S376:S381 Y440:Z442 Y447:Z447 Y449:Z450 Y461:Z461 Y466:Z466 X376:Z381 S673:S674 X673:Z674 S697:S698 S721 S717:S718 X697:Z698 Y721:Z721 Y717:Z718 S753:S755 S742:S745 S739:S740 S732:S737 S729 S727 S723 Y727:Z727 Y729:Z729 Y732:Z737 Y739:Z740 Y742:Z745 Y753:Z755 Y723:Z723 S784 S776:S778 S768:S773 S765 Y765:Z765 Y768:Z773 Y776:Z778 Y784:Z784 S809:S810 S805:S807 S790:S796 S820:S823 S825:S828 Y790:Z796 Y805:Z807 Y809:Z810 Y820:Z823 Y825:Z828 S838 S840 S844:S848 S850 S853:S857 S868 S870:S871 S877:S879 S885:S891 Y838:Z838 Y840:Z840 Y844:Z848 Y850:Z850 Y853:Z857 Y868:Z868 Y870:Z871 Y877:Z879 Y885:Z891 S26 Y26:Z26 Y102:Z102 Y155 Y234 Y249 S2 Y2:Z2 H376:H381 H440:H442 H447 H449:H450 S1381 S1393 S1413:S1414 Z1417:Z1422 Z1425 AA1431 Z1443:Z1445 Z1449 W1092 W1096:W1097 W1076:W1089" xr:uid="{B0285145-E046-4E3F-A889-5085D2BBCBD7}"/>
    <dataValidation allowBlank="1" showInputMessage="1" showErrorMessage="1" sqref="E1 AA465 D1432:G1435 D1436:D1441 D1557:D1559 D1448:D1449 D1443:D1446" xr:uid="{961EDDC9-FBA3-4B00-8567-0266D22C43ED}"/>
    <dataValidation type="list" allowBlank="1" showInputMessage="1" showErrorMessage="1" sqref="H1115 H1117:H1166" xr:uid="{1460EF37-4F3E-4CAC-BB40-1DEA1C44D1AD}">
      <formula1>"Utilities, Social Care, Hard FM, Facilities, Engineering &amp; Environment, Built Environment"</formula1>
    </dataValidation>
    <dataValidation type="list" allowBlank="1" showInputMessage="1" showErrorMessage="1" sqref="W1115" xr:uid="{2C64CDCD-84F9-4115-99DC-671A0912DA39}">
      <formula1>$H$2:$H$18</formula1>
    </dataValidation>
    <dataValidation type="list" allowBlank="1" showInputMessage="1" showErrorMessage="1" sqref="R1092" xr:uid="{954D5D16-E4FD-44A7-BA70-CF88634D3845}">
      <formula1>$L$2:$L$20</formula1>
    </dataValidation>
    <dataValidation type="list" allowBlank="1" showInputMessage="1" showErrorMessage="1" sqref="R1088:R1089 R1027:R1045 R1047:R1054" xr:uid="{F8D5BC30-E857-4DA7-B34E-EFEF4CA00C9B}">
      <formula1>$L$2:$L$19</formula1>
    </dataValidation>
    <dataValidation operator="greaterThan" allowBlank="1" showInputMessage="1" showErrorMessage="1" sqref="W1121:W1122 W1133 W1137 P1137:Q1137 W1150 P1150:Q1150 P1154:Q1154 W1154:W1155 P1161:Q1161 J1047:N1054 J1092:N1097 J1076:N1089 L1166:Q1166 L1163:O1165 L1162:Q1162 L1123:O1161 L1121:Q1122 L1117:O1120 L1115:O1115" xr:uid="{4B91A1D7-B246-43C6-9E7A-E497C41D9801}"/>
    <dataValidation type="list" allowBlank="1" showInputMessage="1" showErrorMessage="1" sqref="W1019" xr:uid="{AFD790C5-781F-4ADA-AB1C-5DDCE4BD35F7}">
      <formula1>"Active, Non Active, Ad-hoc"</formula1>
    </dataValidation>
    <dataValidation type="list" allowBlank="1" showInputMessage="1" showErrorMessage="1" sqref="Q989:Q1006 O1011 P1014:P1017 D1019:G1045 D1047:G1054 D1092:G1097 D1076:G1089" xr:uid="{F86956BC-A472-45EF-9006-B8EEBBC308D1}">
      <formula1>"Utilities, Hard FM, Facilities, Engineering &amp; Environment, Built Environment"</formula1>
    </dataValidation>
    <dataValidation type="list" allowBlank="1" showInputMessage="1" showErrorMessage="1" sqref="D989:G1006" xr:uid="{E40E95A1-BC11-41F8-AF4F-CC7825F7A12A}">
      <formula1>"Oo, Pr"</formula1>
    </dataValidation>
    <dataValidation type="list" allowBlank="1" showInputMessage="1" showErrorMessage="1" sqref="X440" xr:uid="{00000000-0002-0000-0200-000006000000}">
      <formula1>$C$1:$C$34</formula1>
    </dataValidation>
    <dataValidation type="whole" allowBlank="1" showInputMessage="1" showErrorMessage="1" error="Please insert a whole number between 1 and 240" sqref="P376:P381 P440:P442 P447 P449:P450 P466" xr:uid="{00000000-0002-0000-0200-000004000000}">
      <formula1>1</formula1>
      <formula2>240</formula2>
    </dataValidation>
    <dataValidation type="date" operator="greaterThan" allowBlank="1" showInputMessage="1" showErrorMessage="1" error="Please enter a valid date in the following format **/**/****" sqref="O376:O378 M380:M381 O380:O381 M376:M378 O466 O447 O440:O442" xr:uid="{00000000-0002-0000-0200-000003000000}">
      <formula1>36526</formula1>
    </dataValidation>
    <dataValidation type="list" allowBlank="1" showInputMessage="1" showErrorMessage="1" sqref="Z127 Z133 Z138 Z155 Z157 Z164:Z177 Z182 Z200:Z201 Z221 Z223:Z228 Z234:Z282 Z284:Z307 Z309:Z310 Z312:Z318 Z320:Z323 Z325:Z334 Z336:Z351 Z353:Z361 Z363:Z375 Z14 Z1415:Z1416 Z1423:Z1424 Z1426:Z1427 AA1428:AA1430 AB1432:AB1435 Z1436:Z1441 Z1557:Z1559 Z1446 Z1448" xr:uid="{00000000-0002-0000-0200-000002000000}">
      <formula1>Tiering</formula1>
    </dataValidation>
    <dataValidation type="list" allowBlank="1" showInputMessage="1" showErrorMessage="1" sqref="AE69" xr:uid="{00000000-0002-0000-0200-000001000000}">
      <formula1>Brexit</formula1>
    </dataValidation>
    <dataValidation type="list" allowBlank="1" showInputMessage="1" showErrorMessage="1" sqref="X26 X102 X477:X480 X493 X868 X870:X871 X877:X879 X885:X891 X2" xr:uid="{00000000-0002-0000-0200-000000000000}">
      <formula1>Officer</formula1>
    </dataValidation>
    <dataValidation type="list" allowBlank="1" showInputMessage="1" showErrorMessage="1" sqref="W1381" xr:uid="{C46D6C89-EC0F-444E-9168-8346768449A3}">
      <formula1>"Continue, Delay, Extend, Emergency, Completed, After 2020"</formula1>
    </dataValidation>
    <dataValidation type="list" allowBlank="1" showInputMessage="1" showErrorMessage="1" sqref="G1436:G1441 G1557:G1559 G1448:G1449 G1443:G1446" xr:uid="{8A9D73C6-BFDA-409D-A533-E0E6588A78B9}">
      <formula1>INDIRECT($F1436)</formula1>
    </dataValidation>
    <dataValidation type="list" allowBlank="1" showInputMessage="1" showErrorMessage="1" sqref="E1436:E1441 E1557:E1559 E1448:E1449 E1443:E1446" xr:uid="{58160399-863F-44BC-B20C-32EE285E6E7F}">
      <formula1>Original</formula1>
    </dataValidation>
    <dataValidation type="list" allowBlank="1" showInputMessage="1" showErrorMessage="1" sqref="G1" xr:uid="{69340761-6CEC-4AB3-9403-194F4FE5713F}">
      <formula1>INDIRECT(#REF!)</formula1>
    </dataValidation>
    <dataValidation type="list" allowBlank="1" showInputMessage="1" showErrorMessage="1" sqref="D14:G14 D1417:G1427 X111:X112 X1443:X1446 X1448:X1449 X1415:X1427 X234:X307 X223:X228 X221 X200:X201 X182 X164:X177 X155 X138 X133 X127 X309:X323 X336:X361 X717:X718 X721 X723 X727 X729 X732:X737 X739:X740 X742:X745 X753:X755 X784 X765 X768:X773 X776:X778 X825:X828 X820:X823 X809:X810 X805:X807 X790:X796 X853:X857 X850 X844:X848 X840 X838 Y112:Z112 X157:Y157 Y170 Y235 Y254:Y282 Y284:Y307 Y309:Y310 Y312:Y318 Y320:Y323 X325:Y334 Y336:Y351 Y353:Y361 X363:Y375 Y477:Z477 Y479:Z480 Y493:Z493 X14:Y14 Y1415:Y1416 Y1423:Y1424 Y1426:Y1431 Z1428:Z1430 Z1432:AA1435 X1436:Y1441 X1557:Y1559 Y1446 Y1448 S101:S112 S127 S133 S138 S145 S155 S157 S164:S177 S182:S186 S200:S201 S221 S223:S230 S234:S307 S309:S323 S325:S334 R336:S336 S337:S341 S343:S355 S357:S361 S363:S370 S372:S375 S762 S14 S1415:S1427 T1428:T1430 U1432:V1435 S1436:S1441 S1557:S1559 S1448:S1449 S1443:S1446 AD127 AD133 AD138 AD155 AD157 AD164:AD177 AD182 AD200:AD201 AD221 AD223:AD228 AD234:AD282 AD284:AD307 AD309:AD310 AD312:AD318 AD320:AD323 AD325:AD334 AD336:AD351 AD353:AD361 AD363:AD375 AD14 AD1415:AD1427 AE1428:AE1431 AD1436:AD1441 AD1557:AD1559 AD1448:AD1449 AD1443:AD1446 S477 S493 S479:S480 B14 B1415:B1441 B1557:B1559 B1448:B1449 B1443:B1446 I14 I1415:I1427 D1428:J1431 J1432:K1435 I1436:I1441 I1557:I1559 I1448:I1449 I1443:I1446" xr:uid="{8F61CE1C-4F4C-48FA-8A56-6DF04E430A93}">
      <formula1>#REF!</formula1>
    </dataValidation>
  </dataValidations>
  <pageMargins left="0.7" right="0.7" top="0.75" bottom="0.75" header="0.3" footer="0.3"/>
  <pageSetup paperSize="9" orientation="portrait" r:id="rId1"/>
  <headerFooter>
    <oddFooter>&amp;C&amp;1#&amp;"Calibri"&amp;10&amp;KFF0000OFFICIAL - SENSITIVE</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613" operator="containsText" id="{8535D3DA-002C-45FB-9963-3C5419868BAA}">
            <xm:f>NOT(ISERROR(SEARCH(#REF!,AA440)))</xm:f>
            <xm:f>#REF!</xm:f>
            <x14:dxf>
              <fill>
                <patternFill>
                  <bgColor rgb="FF92D050"/>
                </patternFill>
              </fill>
            </x14:dxf>
          </x14:cfRule>
          <x14:cfRule type="containsText" priority="614" operator="containsText" id="{E3F93036-1628-4403-8115-D1F3F6B5891E}">
            <xm:f>NOT(ISERROR(SEARCH(#REF!,AA440)))</xm:f>
            <xm:f>#REF!</xm:f>
            <x14:dxf>
              <fill>
                <patternFill>
                  <bgColor theme="0" tint="-0.14996795556505021"/>
                </patternFill>
              </fill>
            </x14:dxf>
          </x14:cfRule>
          <x14:cfRule type="containsText" priority="615" operator="containsText" id="{639CD13A-6C64-4D4D-A2AE-8D87D9E7E2F5}">
            <xm:f>NOT(ISERROR(SEARCH(#REF!,AA440)))</xm:f>
            <xm:f>#REF!</xm:f>
            <x14:dxf>
              <font>
                <color rgb="FF9C6500"/>
              </font>
              <fill>
                <patternFill>
                  <bgColor rgb="FFFFEB9C"/>
                </patternFill>
              </fill>
            </x14:dxf>
          </x14:cfRule>
          <xm:sqref>AA440</xm:sqref>
        </x14:conditionalFormatting>
        <x14:conditionalFormatting xmlns:xm="http://schemas.microsoft.com/office/excel/2006/main">
          <x14:cfRule type="containsText" priority="609" operator="containsText" id="{555DCF8A-0B39-450C-A4BD-0B7ED695DE1E}">
            <xm:f>NOT(ISERROR(SEARCH(#REF!,AA441)))</xm:f>
            <xm:f>#REF!</xm:f>
            <x14:dxf>
              <fill>
                <patternFill>
                  <bgColor rgb="FF92D050"/>
                </patternFill>
              </fill>
            </x14:dxf>
          </x14:cfRule>
          <x14:cfRule type="containsText" priority="610" operator="containsText" id="{50A14084-7803-409E-8ABE-39C902FC8BA0}">
            <xm:f>NOT(ISERROR(SEARCH(#REF!,AA441)))</xm:f>
            <xm:f>#REF!</xm:f>
            <x14:dxf>
              <fill>
                <patternFill>
                  <bgColor theme="0" tint="-0.14996795556505021"/>
                </patternFill>
              </fill>
            </x14:dxf>
          </x14:cfRule>
          <x14:cfRule type="containsText" priority="611" operator="containsText" id="{D5CA527A-DA1D-41FA-BA45-453FD09A8703}">
            <xm:f>NOT(ISERROR(SEARCH(#REF!,AA441)))</xm:f>
            <xm:f>#REF!</xm:f>
            <x14:dxf>
              <font>
                <color rgb="FF9C6500"/>
              </font>
              <fill>
                <patternFill>
                  <bgColor rgb="FFFFEB9C"/>
                </patternFill>
              </fill>
            </x14:dxf>
          </x14:cfRule>
          <xm:sqref>AA441</xm:sqref>
        </x14:conditionalFormatting>
        <x14:conditionalFormatting xmlns:xm="http://schemas.microsoft.com/office/excel/2006/main">
          <x14:cfRule type="containsText" priority="605" operator="containsText" id="{22A42311-66E2-4CEF-B324-763C2551A2E3}">
            <xm:f>NOT(ISERROR(SEARCH(#REF!,AA442)))</xm:f>
            <xm:f>#REF!</xm:f>
            <x14:dxf>
              <fill>
                <patternFill>
                  <bgColor rgb="FF92D050"/>
                </patternFill>
              </fill>
            </x14:dxf>
          </x14:cfRule>
          <x14:cfRule type="containsText" priority="606" operator="containsText" id="{B6FB87C4-52E2-480C-911E-01F6EDE9B0B1}">
            <xm:f>NOT(ISERROR(SEARCH(#REF!,AA442)))</xm:f>
            <xm:f>#REF!</xm:f>
            <x14:dxf>
              <fill>
                <patternFill>
                  <bgColor theme="0" tint="-0.14996795556505021"/>
                </patternFill>
              </fill>
            </x14:dxf>
          </x14:cfRule>
          <x14:cfRule type="containsText" priority="607" operator="containsText" id="{D81E5DE7-A338-4628-9D37-7E087291DA4B}">
            <xm:f>NOT(ISERROR(SEARCH(#REF!,AA442)))</xm:f>
            <xm:f>#REF!</xm:f>
            <x14:dxf>
              <font>
                <color rgb="FF9C6500"/>
              </font>
              <fill>
                <patternFill>
                  <bgColor rgb="FFFFEB9C"/>
                </patternFill>
              </fill>
            </x14:dxf>
          </x14:cfRule>
          <xm:sqref>AA442</xm:sqref>
        </x14:conditionalFormatting>
        <x14:conditionalFormatting xmlns:xm="http://schemas.microsoft.com/office/excel/2006/main">
          <x14:cfRule type="containsText" priority="602" operator="containsText" id="{B151817C-B15F-4662-80C3-5E4FB111DF88}">
            <xm:f>NOT(ISERROR(SEARCH(#REF!,AA443)))</xm:f>
            <xm:f>#REF!</xm:f>
            <x14:dxf>
              <fill>
                <patternFill>
                  <bgColor rgb="FF92D050"/>
                </patternFill>
              </fill>
            </x14:dxf>
          </x14:cfRule>
          <x14:cfRule type="containsText" priority="603" operator="containsText" id="{C90F1A6B-7533-4DC1-AEC7-1CE133EFCDF0}">
            <xm:f>NOT(ISERROR(SEARCH(#REF!,AA443)))</xm:f>
            <xm:f>#REF!</xm:f>
            <x14:dxf>
              <fill>
                <patternFill>
                  <bgColor theme="0" tint="-0.14996795556505021"/>
                </patternFill>
              </fill>
            </x14:dxf>
          </x14:cfRule>
          <x14:cfRule type="containsText" priority="604" operator="containsText" id="{69A4EEED-5FCB-4C98-8872-15862377D0DC}">
            <xm:f>NOT(ISERROR(SEARCH(#REF!,AA443)))</xm:f>
            <xm:f>#REF!</xm:f>
            <x14:dxf>
              <font>
                <color rgb="FF9C6500"/>
              </font>
              <fill>
                <patternFill>
                  <bgColor rgb="FFFFEB9C"/>
                </patternFill>
              </fill>
            </x14:dxf>
          </x14:cfRule>
          <xm:sqref>AA443</xm:sqref>
        </x14:conditionalFormatting>
        <x14:conditionalFormatting xmlns:xm="http://schemas.microsoft.com/office/excel/2006/main">
          <x14:cfRule type="containsText" priority="599" operator="containsText" id="{DA85AC8D-00E0-49FD-9A02-44FF8941A677}">
            <xm:f>NOT(ISERROR(SEARCH(#REF!,AA444)))</xm:f>
            <xm:f>#REF!</xm:f>
            <x14:dxf>
              <fill>
                <patternFill>
                  <bgColor rgb="FF92D050"/>
                </patternFill>
              </fill>
            </x14:dxf>
          </x14:cfRule>
          <x14:cfRule type="containsText" priority="600" operator="containsText" id="{609516F8-267E-45A1-92D3-3F6D779468B1}">
            <xm:f>NOT(ISERROR(SEARCH(#REF!,AA444)))</xm:f>
            <xm:f>#REF!</xm:f>
            <x14:dxf>
              <fill>
                <patternFill>
                  <bgColor theme="0" tint="-0.14996795556505021"/>
                </patternFill>
              </fill>
            </x14:dxf>
          </x14:cfRule>
          <x14:cfRule type="containsText" priority="601" operator="containsText" id="{9C307603-362C-493A-BCFB-AAE801ECA12D}">
            <xm:f>NOT(ISERROR(SEARCH(#REF!,AA444)))</xm:f>
            <xm:f>#REF!</xm:f>
            <x14:dxf>
              <font>
                <color rgb="FF9C6500"/>
              </font>
              <fill>
                <patternFill>
                  <bgColor rgb="FFFFEB9C"/>
                </patternFill>
              </fill>
            </x14:dxf>
          </x14:cfRule>
          <xm:sqref>AA444</xm:sqref>
        </x14:conditionalFormatting>
        <x14:conditionalFormatting xmlns:xm="http://schemas.microsoft.com/office/excel/2006/main">
          <x14:cfRule type="containsText" priority="596" operator="containsText" id="{211C18D9-1C75-4E6A-8682-F196C1EF57B5}">
            <xm:f>NOT(ISERROR(SEARCH(#REF!,AA445)))</xm:f>
            <xm:f>#REF!</xm:f>
            <x14:dxf>
              <fill>
                <patternFill>
                  <bgColor rgb="FF92D050"/>
                </patternFill>
              </fill>
            </x14:dxf>
          </x14:cfRule>
          <x14:cfRule type="containsText" priority="597" operator="containsText" id="{FCB77264-17E7-4D37-B7F0-B56AE1AA28E6}">
            <xm:f>NOT(ISERROR(SEARCH(#REF!,AA445)))</xm:f>
            <xm:f>#REF!</xm:f>
            <x14:dxf>
              <fill>
                <patternFill>
                  <bgColor theme="0" tint="-0.14996795556505021"/>
                </patternFill>
              </fill>
            </x14:dxf>
          </x14:cfRule>
          <x14:cfRule type="containsText" priority="598" operator="containsText" id="{0A26630A-7518-442C-A90B-63B5B1AEDA64}">
            <xm:f>NOT(ISERROR(SEARCH(#REF!,AA445)))</xm:f>
            <xm:f>#REF!</xm:f>
            <x14:dxf>
              <font>
                <color rgb="FF9C6500"/>
              </font>
              <fill>
                <patternFill>
                  <bgColor rgb="FFFFEB9C"/>
                </patternFill>
              </fill>
            </x14:dxf>
          </x14:cfRule>
          <xm:sqref>AA445</xm:sqref>
        </x14:conditionalFormatting>
        <x14:conditionalFormatting xmlns:xm="http://schemas.microsoft.com/office/excel/2006/main">
          <x14:cfRule type="containsText" priority="593" operator="containsText" id="{85B8DDAE-BDC6-47C5-B83D-1554DAF55C68}">
            <xm:f>NOT(ISERROR(SEARCH(#REF!,AA446)))</xm:f>
            <xm:f>#REF!</xm:f>
            <x14:dxf>
              <fill>
                <patternFill>
                  <bgColor rgb="FF92D050"/>
                </patternFill>
              </fill>
            </x14:dxf>
          </x14:cfRule>
          <x14:cfRule type="containsText" priority="594" operator="containsText" id="{8A9512E1-DD13-427F-B2E1-683E5C22D20E}">
            <xm:f>NOT(ISERROR(SEARCH(#REF!,AA446)))</xm:f>
            <xm:f>#REF!</xm:f>
            <x14:dxf>
              <fill>
                <patternFill>
                  <bgColor theme="0" tint="-0.14996795556505021"/>
                </patternFill>
              </fill>
            </x14:dxf>
          </x14:cfRule>
          <x14:cfRule type="containsText" priority="595" operator="containsText" id="{73322D95-0BC1-418A-94FC-8BB8D9000A71}">
            <xm:f>NOT(ISERROR(SEARCH(#REF!,AA446)))</xm:f>
            <xm:f>#REF!</xm:f>
            <x14:dxf>
              <font>
                <color rgb="FF9C6500"/>
              </font>
              <fill>
                <patternFill>
                  <bgColor rgb="FFFFEB9C"/>
                </patternFill>
              </fill>
            </x14:dxf>
          </x14:cfRule>
          <xm:sqref>AA446</xm:sqref>
        </x14:conditionalFormatting>
        <x14:conditionalFormatting xmlns:xm="http://schemas.microsoft.com/office/excel/2006/main">
          <x14:cfRule type="containsText" priority="589" operator="containsText" id="{64F25906-6091-4B9F-84B3-8D10985197BE}">
            <xm:f>NOT(ISERROR(SEARCH(#REF!,AA447)))</xm:f>
            <xm:f>#REF!</xm:f>
            <x14:dxf>
              <fill>
                <patternFill>
                  <bgColor rgb="FF92D050"/>
                </patternFill>
              </fill>
            </x14:dxf>
          </x14:cfRule>
          <x14:cfRule type="containsText" priority="590" operator="containsText" id="{CAA9001C-FBFB-4FC1-ACE5-8A7181A22E99}">
            <xm:f>NOT(ISERROR(SEARCH(#REF!,AA447)))</xm:f>
            <xm:f>#REF!</xm:f>
            <x14:dxf>
              <fill>
                <patternFill>
                  <bgColor theme="0" tint="-0.14996795556505021"/>
                </patternFill>
              </fill>
            </x14:dxf>
          </x14:cfRule>
          <x14:cfRule type="containsText" priority="591" operator="containsText" id="{60BD3D0D-0C7B-47F9-8099-42B4379D995A}">
            <xm:f>NOT(ISERROR(SEARCH(#REF!,AA447)))</xm:f>
            <xm:f>#REF!</xm:f>
            <x14:dxf>
              <font>
                <color rgb="FF9C6500"/>
              </font>
              <fill>
                <patternFill>
                  <bgColor rgb="FFFFEB9C"/>
                </patternFill>
              </fill>
            </x14:dxf>
          </x14:cfRule>
          <xm:sqref>AA447</xm:sqref>
        </x14:conditionalFormatting>
        <x14:conditionalFormatting xmlns:xm="http://schemas.microsoft.com/office/excel/2006/main">
          <x14:cfRule type="containsText" priority="586" operator="containsText" id="{A468E616-579E-4D5F-989A-A24020289E3E}">
            <xm:f>NOT(ISERROR(SEARCH(#REF!,AA448)))</xm:f>
            <xm:f>#REF!</xm:f>
            <x14:dxf>
              <fill>
                <patternFill>
                  <bgColor rgb="FF92D050"/>
                </patternFill>
              </fill>
            </x14:dxf>
          </x14:cfRule>
          <x14:cfRule type="containsText" priority="587" operator="containsText" id="{EB1CF1FD-E8E2-4A1E-A645-271CFBBDA55A}">
            <xm:f>NOT(ISERROR(SEARCH(#REF!,AA448)))</xm:f>
            <xm:f>#REF!</xm:f>
            <x14:dxf>
              <fill>
                <patternFill>
                  <bgColor theme="0" tint="-0.14996795556505021"/>
                </patternFill>
              </fill>
            </x14:dxf>
          </x14:cfRule>
          <x14:cfRule type="containsText" priority="588" operator="containsText" id="{41C7A03C-A98B-446B-8BFB-9501893431EC}">
            <xm:f>NOT(ISERROR(SEARCH(#REF!,AA448)))</xm:f>
            <xm:f>#REF!</xm:f>
            <x14:dxf>
              <font>
                <color rgb="FF9C6500"/>
              </font>
              <fill>
                <patternFill>
                  <bgColor rgb="FFFFEB9C"/>
                </patternFill>
              </fill>
            </x14:dxf>
          </x14:cfRule>
          <xm:sqref>AA448</xm:sqref>
        </x14:conditionalFormatting>
        <x14:conditionalFormatting xmlns:xm="http://schemas.microsoft.com/office/excel/2006/main">
          <x14:cfRule type="containsText" priority="582" operator="containsText" id="{56BC62C0-5DF8-42ED-9EA8-0472236CC743}">
            <xm:f>NOT(ISERROR(SEARCH(#REF!,AA449)))</xm:f>
            <xm:f>#REF!</xm:f>
            <x14:dxf>
              <fill>
                <patternFill>
                  <bgColor rgb="FF92D050"/>
                </patternFill>
              </fill>
            </x14:dxf>
          </x14:cfRule>
          <x14:cfRule type="containsText" priority="583" operator="containsText" id="{A46B16F3-7917-4D29-B142-29B26C8B2E39}">
            <xm:f>NOT(ISERROR(SEARCH(#REF!,AA449)))</xm:f>
            <xm:f>#REF!</xm:f>
            <x14:dxf>
              <fill>
                <patternFill>
                  <bgColor theme="0" tint="-0.14996795556505021"/>
                </patternFill>
              </fill>
            </x14:dxf>
          </x14:cfRule>
          <x14:cfRule type="containsText" priority="584" operator="containsText" id="{A58739D6-694B-4491-9F35-781D79BEE713}">
            <xm:f>NOT(ISERROR(SEARCH(#REF!,AA449)))</xm:f>
            <xm:f>#REF!</xm:f>
            <x14:dxf>
              <font>
                <color rgb="FF9C6500"/>
              </font>
              <fill>
                <patternFill>
                  <bgColor rgb="FFFFEB9C"/>
                </patternFill>
              </fill>
            </x14:dxf>
          </x14:cfRule>
          <xm:sqref>AA449</xm:sqref>
        </x14:conditionalFormatting>
        <x14:conditionalFormatting xmlns:xm="http://schemas.microsoft.com/office/excel/2006/main">
          <x14:cfRule type="containsText" priority="578" operator="containsText" id="{02C76CEC-1209-4DC0-9410-512182C19100}">
            <xm:f>NOT(ISERROR(SEARCH(#REF!,AA450)))</xm:f>
            <xm:f>#REF!</xm:f>
            <x14:dxf>
              <fill>
                <patternFill>
                  <bgColor rgb="FF92D050"/>
                </patternFill>
              </fill>
            </x14:dxf>
          </x14:cfRule>
          <x14:cfRule type="containsText" priority="579" operator="containsText" id="{43D87AB3-17CF-4F94-AB10-13A3B64A2E0A}">
            <xm:f>NOT(ISERROR(SEARCH(#REF!,AA450)))</xm:f>
            <xm:f>#REF!</xm:f>
            <x14:dxf>
              <fill>
                <patternFill>
                  <bgColor theme="0" tint="-0.14996795556505021"/>
                </patternFill>
              </fill>
            </x14:dxf>
          </x14:cfRule>
          <x14:cfRule type="containsText" priority="580" operator="containsText" id="{6DE38BBC-A0ED-4FC2-B104-6C35E7981125}">
            <xm:f>NOT(ISERROR(SEARCH(#REF!,AA450)))</xm:f>
            <xm:f>#REF!</xm:f>
            <x14:dxf>
              <font>
                <color rgb="FF9C6500"/>
              </font>
              <fill>
                <patternFill>
                  <bgColor rgb="FFFFEB9C"/>
                </patternFill>
              </fill>
            </x14:dxf>
          </x14:cfRule>
          <xm:sqref>AA450</xm:sqref>
        </x14:conditionalFormatting>
        <x14:conditionalFormatting xmlns:xm="http://schemas.microsoft.com/office/excel/2006/main">
          <x14:cfRule type="containsText" priority="575" operator="containsText" id="{960616DF-7A63-4509-BEE0-8AD76E4340C8}">
            <xm:f>NOT(ISERROR(SEARCH(#REF!,AA451)))</xm:f>
            <xm:f>#REF!</xm:f>
            <x14:dxf>
              <fill>
                <patternFill>
                  <bgColor rgb="FF92D050"/>
                </patternFill>
              </fill>
            </x14:dxf>
          </x14:cfRule>
          <x14:cfRule type="containsText" priority="576" operator="containsText" id="{F046A4C9-3D51-4CFC-994D-095B1B1D2A56}">
            <xm:f>NOT(ISERROR(SEARCH(#REF!,AA451)))</xm:f>
            <xm:f>#REF!</xm:f>
            <x14:dxf>
              <fill>
                <patternFill>
                  <bgColor theme="0" tint="-0.14996795556505021"/>
                </patternFill>
              </fill>
            </x14:dxf>
          </x14:cfRule>
          <x14:cfRule type="containsText" priority="577" operator="containsText" id="{AD59F2C3-E68C-4878-8ABB-4739DA136ED9}">
            <xm:f>NOT(ISERROR(SEARCH(#REF!,AA451)))</xm:f>
            <xm:f>#REF!</xm:f>
            <x14:dxf>
              <font>
                <color rgb="FF9C6500"/>
              </font>
              <fill>
                <patternFill>
                  <bgColor rgb="FFFFEB9C"/>
                </patternFill>
              </fill>
            </x14:dxf>
          </x14:cfRule>
          <xm:sqref>AA451</xm:sqref>
        </x14:conditionalFormatting>
        <x14:conditionalFormatting xmlns:xm="http://schemas.microsoft.com/office/excel/2006/main">
          <x14:cfRule type="containsText" priority="572" operator="containsText" id="{01830363-7049-4CF3-95B1-AA03B1DB706E}">
            <xm:f>NOT(ISERROR(SEARCH(#REF!,AA452)))</xm:f>
            <xm:f>#REF!</xm:f>
            <x14:dxf>
              <fill>
                <patternFill>
                  <bgColor rgb="FF92D050"/>
                </patternFill>
              </fill>
            </x14:dxf>
          </x14:cfRule>
          <x14:cfRule type="containsText" priority="573" operator="containsText" id="{0AEE275D-0BCB-4FA5-A8B1-CDB7240923B2}">
            <xm:f>NOT(ISERROR(SEARCH(#REF!,AA452)))</xm:f>
            <xm:f>#REF!</xm:f>
            <x14:dxf>
              <fill>
                <patternFill>
                  <bgColor theme="0" tint="-0.14996795556505021"/>
                </patternFill>
              </fill>
            </x14:dxf>
          </x14:cfRule>
          <x14:cfRule type="containsText" priority="574" operator="containsText" id="{63C79805-C828-49BC-ABDB-F05F97C6E7E8}">
            <xm:f>NOT(ISERROR(SEARCH(#REF!,AA452)))</xm:f>
            <xm:f>#REF!</xm:f>
            <x14:dxf>
              <font>
                <color rgb="FF9C6500"/>
              </font>
              <fill>
                <patternFill>
                  <bgColor rgb="FFFFEB9C"/>
                </patternFill>
              </fill>
            </x14:dxf>
          </x14:cfRule>
          <xm:sqref>AA452</xm:sqref>
        </x14:conditionalFormatting>
        <x14:conditionalFormatting xmlns:xm="http://schemas.microsoft.com/office/excel/2006/main">
          <x14:cfRule type="containsText" priority="568" operator="containsText" id="{F65F881B-3B74-4163-9B61-C6C5250DC574}">
            <xm:f>NOT(ISERROR(SEARCH(#REF!,AA453)))</xm:f>
            <xm:f>#REF!</xm:f>
            <x14:dxf>
              <fill>
                <patternFill>
                  <bgColor rgb="FF92D050"/>
                </patternFill>
              </fill>
            </x14:dxf>
          </x14:cfRule>
          <x14:cfRule type="containsText" priority="569" operator="containsText" id="{7FA6ECB6-12FC-4EDB-A6D1-98C7979F3877}">
            <xm:f>NOT(ISERROR(SEARCH(#REF!,AA453)))</xm:f>
            <xm:f>#REF!</xm:f>
            <x14:dxf>
              <fill>
                <patternFill>
                  <bgColor theme="0" tint="-0.14996795556505021"/>
                </patternFill>
              </fill>
            </x14:dxf>
          </x14:cfRule>
          <x14:cfRule type="containsText" priority="570" operator="containsText" id="{099AF055-35B1-4D4E-80A8-BBE15411F7A1}">
            <xm:f>NOT(ISERROR(SEARCH(#REF!,AA453)))</xm:f>
            <xm:f>#REF!</xm:f>
            <x14:dxf>
              <font>
                <color rgb="FF9C6500"/>
              </font>
              <fill>
                <patternFill>
                  <bgColor rgb="FFFFEB9C"/>
                </patternFill>
              </fill>
            </x14:dxf>
          </x14:cfRule>
          <xm:sqref>AA453</xm:sqref>
        </x14:conditionalFormatting>
        <x14:conditionalFormatting xmlns:xm="http://schemas.microsoft.com/office/excel/2006/main">
          <x14:cfRule type="containsText" priority="564" operator="containsText" id="{92758944-87B5-4137-87D4-0D9F1105173B}">
            <xm:f>NOT(ISERROR(SEARCH(#REF!,AA454)))</xm:f>
            <xm:f>#REF!</xm:f>
            <x14:dxf>
              <fill>
                <patternFill>
                  <bgColor rgb="FF92D050"/>
                </patternFill>
              </fill>
            </x14:dxf>
          </x14:cfRule>
          <x14:cfRule type="containsText" priority="565" operator="containsText" id="{66548407-709C-45C8-9A0E-9F8CC7B1BF56}">
            <xm:f>NOT(ISERROR(SEARCH(#REF!,AA454)))</xm:f>
            <xm:f>#REF!</xm:f>
            <x14:dxf>
              <fill>
                <patternFill>
                  <bgColor theme="0" tint="-0.14996795556505021"/>
                </patternFill>
              </fill>
            </x14:dxf>
          </x14:cfRule>
          <x14:cfRule type="containsText" priority="566" operator="containsText" id="{C7AD18FF-A3CF-473A-94C8-A6272120E668}">
            <xm:f>NOT(ISERROR(SEARCH(#REF!,AA454)))</xm:f>
            <xm:f>#REF!</xm:f>
            <x14:dxf>
              <font>
                <color rgb="FF9C6500"/>
              </font>
              <fill>
                <patternFill>
                  <bgColor rgb="FFFFEB9C"/>
                </patternFill>
              </fill>
            </x14:dxf>
          </x14:cfRule>
          <xm:sqref>AA454</xm:sqref>
        </x14:conditionalFormatting>
        <x14:conditionalFormatting xmlns:xm="http://schemas.microsoft.com/office/excel/2006/main">
          <x14:cfRule type="containsText" priority="560" operator="containsText" id="{7A1CAB62-6D93-4A86-84A8-1F7F637F5480}">
            <xm:f>NOT(ISERROR(SEARCH(#REF!,AA455)))</xm:f>
            <xm:f>#REF!</xm:f>
            <x14:dxf>
              <fill>
                <patternFill>
                  <bgColor rgb="FF92D050"/>
                </patternFill>
              </fill>
            </x14:dxf>
          </x14:cfRule>
          <x14:cfRule type="containsText" priority="561" operator="containsText" id="{4320E222-FDC2-4E9B-B17A-398C4460B737}">
            <xm:f>NOT(ISERROR(SEARCH(#REF!,AA455)))</xm:f>
            <xm:f>#REF!</xm:f>
            <x14:dxf>
              <fill>
                <patternFill>
                  <bgColor theme="0" tint="-0.14996795556505021"/>
                </patternFill>
              </fill>
            </x14:dxf>
          </x14:cfRule>
          <x14:cfRule type="containsText" priority="562" operator="containsText" id="{FA76FCA2-CF14-480A-A57E-B30E2EEC8E4C}">
            <xm:f>NOT(ISERROR(SEARCH(#REF!,AA455)))</xm:f>
            <xm:f>#REF!</xm:f>
            <x14:dxf>
              <font>
                <color rgb="FF9C6500"/>
              </font>
              <fill>
                <patternFill>
                  <bgColor rgb="FFFFEB9C"/>
                </patternFill>
              </fill>
            </x14:dxf>
          </x14:cfRule>
          <xm:sqref>AA455:AA456</xm:sqref>
        </x14:conditionalFormatting>
        <x14:conditionalFormatting xmlns:xm="http://schemas.microsoft.com/office/excel/2006/main">
          <x14:cfRule type="containsText" priority="556" operator="containsText" id="{B5768E0E-0066-40F1-908E-A99D238271FC}">
            <xm:f>NOT(ISERROR(SEARCH(#REF!,AA457)))</xm:f>
            <xm:f>#REF!</xm:f>
            <x14:dxf>
              <fill>
                <patternFill>
                  <bgColor rgb="FF92D050"/>
                </patternFill>
              </fill>
            </x14:dxf>
          </x14:cfRule>
          <x14:cfRule type="containsText" priority="557" operator="containsText" id="{4AB0C0E0-EC68-4074-BFC2-A196EC96C03B}">
            <xm:f>NOT(ISERROR(SEARCH(#REF!,AA457)))</xm:f>
            <xm:f>#REF!</xm:f>
            <x14:dxf>
              <fill>
                <patternFill>
                  <bgColor theme="0" tint="-0.14996795556505021"/>
                </patternFill>
              </fill>
            </x14:dxf>
          </x14:cfRule>
          <x14:cfRule type="containsText" priority="558" operator="containsText" id="{6746B053-DEDC-4B45-B11A-392DF815625A}">
            <xm:f>NOT(ISERROR(SEARCH(#REF!,AA457)))</xm:f>
            <xm:f>#REF!</xm:f>
            <x14:dxf>
              <font>
                <color rgb="FF9C6500"/>
              </font>
              <fill>
                <patternFill>
                  <bgColor rgb="FFFFEB9C"/>
                </patternFill>
              </fill>
            </x14:dxf>
          </x14:cfRule>
          <xm:sqref>AA457</xm:sqref>
        </x14:conditionalFormatting>
        <x14:conditionalFormatting xmlns:xm="http://schemas.microsoft.com/office/excel/2006/main">
          <x14:cfRule type="containsText" priority="552" operator="containsText" id="{E7B8F6C6-026F-4EAD-99AE-E11B7CEEB09F}">
            <xm:f>NOT(ISERROR(SEARCH(#REF!,AA458)))</xm:f>
            <xm:f>#REF!</xm:f>
            <x14:dxf>
              <fill>
                <patternFill>
                  <bgColor rgb="FF92D050"/>
                </patternFill>
              </fill>
            </x14:dxf>
          </x14:cfRule>
          <x14:cfRule type="containsText" priority="553" operator="containsText" id="{EED6FD16-397B-49BA-98A9-74EABA1ED3A6}">
            <xm:f>NOT(ISERROR(SEARCH(#REF!,AA458)))</xm:f>
            <xm:f>#REF!</xm:f>
            <x14:dxf>
              <fill>
                <patternFill>
                  <bgColor theme="0" tint="-0.14996795556505021"/>
                </patternFill>
              </fill>
            </x14:dxf>
          </x14:cfRule>
          <x14:cfRule type="containsText" priority="554" operator="containsText" id="{88AECF5E-1E0E-46B0-B0F3-1A86D06DB950}">
            <xm:f>NOT(ISERROR(SEARCH(#REF!,AA458)))</xm:f>
            <xm:f>#REF!</xm:f>
            <x14:dxf>
              <font>
                <color rgb="FF9C6500"/>
              </font>
              <fill>
                <patternFill>
                  <bgColor rgb="FFFFEB9C"/>
                </patternFill>
              </fill>
            </x14:dxf>
          </x14:cfRule>
          <xm:sqref>AA458</xm:sqref>
        </x14:conditionalFormatting>
        <x14:conditionalFormatting xmlns:xm="http://schemas.microsoft.com/office/excel/2006/main">
          <x14:cfRule type="containsText" priority="547" operator="containsText" id="{FFA350CE-22E6-4508-9B75-DE15B74A71E6}">
            <xm:f>NOT(ISERROR(SEARCH(#REF!,AA459)))</xm:f>
            <xm:f>#REF!</xm:f>
            <x14:dxf>
              <fill>
                <patternFill>
                  <bgColor rgb="FF92D050"/>
                </patternFill>
              </fill>
            </x14:dxf>
          </x14:cfRule>
          <x14:cfRule type="containsText" priority="548" operator="containsText" id="{A4324C18-22FB-43B3-A55E-152F1ED08B30}">
            <xm:f>NOT(ISERROR(SEARCH(#REF!,AA459)))</xm:f>
            <xm:f>#REF!</xm:f>
            <x14:dxf>
              <fill>
                <patternFill>
                  <bgColor theme="0" tint="-0.14996795556505021"/>
                </patternFill>
              </fill>
            </x14:dxf>
          </x14:cfRule>
          <x14:cfRule type="containsText" priority="549" operator="containsText" id="{EEEC1B03-8EED-4554-9551-08BB0DEF778B}">
            <xm:f>NOT(ISERROR(SEARCH(#REF!,AA459)))</xm:f>
            <xm:f>#REF!</xm:f>
            <x14:dxf>
              <font>
                <color rgb="FF9C6500"/>
              </font>
              <fill>
                <patternFill>
                  <bgColor rgb="FFFFEB9C"/>
                </patternFill>
              </fill>
            </x14:dxf>
          </x14:cfRule>
          <xm:sqref>AA459</xm:sqref>
        </x14:conditionalFormatting>
        <x14:conditionalFormatting xmlns:xm="http://schemas.microsoft.com/office/excel/2006/main">
          <x14:cfRule type="containsText" priority="542" operator="containsText" id="{BC63E04E-798B-4BE9-9AAB-55787B12ECD8}">
            <xm:f>NOT(ISERROR(SEARCH(#REF!,AA460)))</xm:f>
            <xm:f>#REF!</xm:f>
            <x14:dxf>
              <fill>
                <patternFill>
                  <bgColor rgb="FF92D050"/>
                </patternFill>
              </fill>
            </x14:dxf>
          </x14:cfRule>
          <x14:cfRule type="containsText" priority="543" operator="containsText" id="{1D32C0CE-C043-4BA2-880D-C3E33EC3C2CD}">
            <xm:f>NOT(ISERROR(SEARCH(#REF!,AA460)))</xm:f>
            <xm:f>#REF!</xm:f>
            <x14:dxf>
              <fill>
                <patternFill>
                  <bgColor theme="0" tint="-0.14996795556505021"/>
                </patternFill>
              </fill>
            </x14:dxf>
          </x14:cfRule>
          <x14:cfRule type="containsText" priority="544" operator="containsText" id="{E91B2B8E-7252-4B8A-8B39-EB53FE61D912}">
            <xm:f>NOT(ISERROR(SEARCH(#REF!,AA460)))</xm:f>
            <xm:f>#REF!</xm:f>
            <x14:dxf>
              <font>
                <color rgb="FF9C6500"/>
              </font>
              <fill>
                <patternFill>
                  <bgColor rgb="FFFFEB9C"/>
                </patternFill>
              </fill>
            </x14:dxf>
          </x14:cfRule>
          <xm:sqref>AA460</xm:sqref>
        </x14:conditionalFormatting>
        <x14:conditionalFormatting xmlns:xm="http://schemas.microsoft.com/office/excel/2006/main">
          <x14:cfRule type="containsText" priority="536" operator="containsText" id="{45146114-2196-4A25-B6AB-792CE622D50F}">
            <xm:f>NOT(ISERROR(SEARCH(#REF!,AA461)))</xm:f>
            <xm:f>#REF!</xm:f>
            <x14:dxf>
              <fill>
                <patternFill>
                  <bgColor rgb="FF92D050"/>
                </patternFill>
              </fill>
            </x14:dxf>
          </x14:cfRule>
          <x14:cfRule type="containsText" priority="537" operator="containsText" id="{55A624F6-D14A-4D46-965D-BEB155028640}">
            <xm:f>NOT(ISERROR(SEARCH(#REF!,AA461)))</xm:f>
            <xm:f>#REF!</xm:f>
            <x14:dxf>
              <fill>
                <patternFill>
                  <bgColor theme="0" tint="-0.14996795556505021"/>
                </patternFill>
              </fill>
            </x14:dxf>
          </x14:cfRule>
          <x14:cfRule type="containsText" priority="538" operator="containsText" id="{76955FFA-39ED-4A9F-83AE-2BD9E2247E0B}">
            <xm:f>NOT(ISERROR(SEARCH(#REF!,AA461)))</xm:f>
            <xm:f>#REF!</xm:f>
            <x14:dxf>
              <font>
                <color rgb="FF9C6500"/>
              </font>
              <fill>
                <patternFill>
                  <bgColor rgb="FFFFEB9C"/>
                </patternFill>
              </fill>
            </x14:dxf>
          </x14:cfRule>
          <xm:sqref>AA461</xm:sqref>
        </x14:conditionalFormatting>
        <x14:conditionalFormatting xmlns:xm="http://schemas.microsoft.com/office/excel/2006/main">
          <x14:cfRule type="containsText" priority="532" operator="containsText" id="{F75F3CFB-ADA0-4ED5-A16F-5E6CB7D903AA}">
            <xm:f>NOT(ISERROR(SEARCH(#REF!,AA462)))</xm:f>
            <xm:f>#REF!</xm:f>
            <x14:dxf>
              <fill>
                <patternFill>
                  <bgColor rgb="FF92D050"/>
                </patternFill>
              </fill>
            </x14:dxf>
          </x14:cfRule>
          <x14:cfRule type="containsText" priority="533" operator="containsText" id="{B3D23AD2-E52E-42B0-BA67-E2CBD53AF31D}">
            <xm:f>NOT(ISERROR(SEARCH(#REF!,AA462)))</xm:f>
            <xm:f>#REF!</xm:f>
            <x14:dxf>
              <fill>
                <patternFill>
                  <bgColor theme="0" tint="-0.14996795556505021"/>
                </patternFill>
              </fill>
            </x14:dxf>
          </x14:cfRule>
          <x14:cfRule type="containsText" priority="534" operator="containsText" id="{F24D4139-CC70-4CBB-A6D4-A7E2D3AD0EB4}">
            <xm:f>NOT(ISERROR(SEARCH(#REF!,AA462)))</xm:f>
            <xm:f>#REF!</xm:f>
            <x14:dxf>
              <font>
                <color rgb="FF9C6500"/>
              </font>
              <fill>
                <patternFill>
                  <bgColor rgb="FFFFEB9C"/>
                </patternFill>
              </fill>
            </x14:dxf>
          </x14:cfRule>
          <xm:sqref>AA462:AA463</xm:sqref>
        </x14:conditionalFormatting>
        <x14:conditionalFormatting xmlns:xm="http://schemas.microsoft.com/office/excel/2006/main">
          <x14:cfRule type="containsText" priority="528" operator="containsText" id="{4F080912-FA81-4918-BA6B-BD136D5BDED6}">
            <xm:f>NOT(ISERROR(SEARCH(#REF!,AA464)))</xm:f>
            <xm:f>#REF!</xm:f>
            <x14:dxf>
              <fill>
                <patternFill>
                  <bgColor rgb="FF92D050"/>
                </patternFill>
              </fill>
            </x14:dxf>
          </x14:cfRule>
          <x14:cfRule type="containsText" priority="529" operator="containsText" id="{9614A5F9-EAC5-45AB-BA84-67666E44A097}">
            <xm:f>NOT(ISERROR(SEARCH(#REF!,AA464)))</xm:f>
            <xm:f>#REF!</xm:f>
            <x14:dxf>
              <fill>
                <patternFill>
                  <bgColor theme="0" tint="-0.14996795556505021"/>
                </patternFill>
              </fill>
            </x14:dxf>
          </x14:cfRule>
          <x14:cfRule type="containsText" priority="530" operator="containsText" id="{FD860E2D-6B84-4FF1-BDF7-41A04D80F5F6}">
            <xm:f>NOT(ISERROR(SEARCH(#REF!,AA464)))</xm:f>
            <xm:f>#REF!</xm:f>
            <x14:dxf>
              <font>
                <color rgb="FF9C6500"/>
              </font>
              <fill>
                <patternFill>
                  <bgColor rgb="FFFFEB9C"/>
                </patternFill>
              </fill>
            </x14:dxf>
          </x14:cfRule>
          <xm:sqref>AA464</xm:sqref>
        </x14:conditionalFormatting>
        <x14:conditionalFormatting xmlns:xm="http://schemas.microsoft.com/office/excel/2006/main">
          <x14:cfRule type="containsText" priority="524" operator="containsText" id="{BCDC84AA-0EC9-4683-A2F5-754921EBF871}">
            <xm:f>NOT(ISERROR(SEARCH(#REF!,AA465)))</xm:f>
            <xm:f>#REF!</xm:f>
            <x14:dxf>
              <fill>
                <patternFill>
                  <bgColor rgb="FF92D050"/>
                </patternFill>
              </fill>
            </x14:dxf>
          </x14:cfRule>
          <x14:cfRule type="containsText" priority="525" operator="containsText" id="{7536B21C-805A-4E1A-B5B0-CB0ACAE01935}">
            <xm:f>NOT(ISERROR(SEARCH(#REF!,AA465)))</xm:f>
            <xm:f>#REF!</xm:f>
            <x14:dxf>
              <fill>
                <patternFill>
                  <bgColor theme="0" tint="-0.14996795556505021"/>
                </patternFill>
              </fill>
            </x14:dxf>
          </x14:cfRule>
          <x14:cfRule type="containsText" priority="526" operator="containsText" id="{4BB31AA0-6522-4607-8869-93FBDD4269A6}">
            <xm:f>NOT(ISERROR(SEARCH(#REF!,AA465)))</xm:f>
            <xm:f>#REF!</xm:f>
            <x14:dxf>
              <font>
                <color rgb="FF9C6500"/>
              </font>
              <fill>
                <patternFill>
                  <bgColor rgb="FFFFEB9C"/>
                </patternFill>
              </fill>
            </x14:dxf>
          </x14:cfRule>
          <xm:sqref>AA465</xm:sqref>
        </x14:conditionalFormatting>
        <x14:conditionalFormatting xmlns:xm="http://schemas.microsoft.com/office/excel/2006/main">
          <x14:cfRule type="containsText" priority="517" operator="containsText" id="{C8A972AE-CEA9-4A81-8C56-0B118CB2F2F0}">
            <xm:f>NOT(ISERROR(SEARCH(#REF!,AA466)))</xm:f>
            <xm:f>#REF!</xm:f>
            <x14:dxf>
              <fill>
                <patternFill>
                  <bgColor rgb="FF92D050"/>
                </patternFill>
              </fill>
            </x14:dxf>
          </x14:cfRule>
          <x14:cfRule type="containsText" priority="518" operator="containsText" id="{2FCA0FE1-78B1-4B72-85EC-ECCFCDF53E8D}">
            <xm:f>NOT(ISERROR(SEARCH(#REF!,AA466)))</xm:f>
            <xm:f>#REF!</xm:f>
            <x14:dxf>
              <fill>
                <patternFill>
                  <bgColor theme="0" tint="-0.14996795556505021"/>
                </patternFill>
              </fill>
            </x14:dxf>
          </x14:cfRule>
          <x14:cfRule type="containsText" priority="519" operator="containsText" id="{1675096C-323F-4C3E-A418-971CE1B3C6ED}">
            <xm:f>NOT(ISERROR(SEARCH(#REF!,AA466)))</xm:f>
            <xm:f>#REF!</xm:f>
            <x14:dxf>
              <font>
                <color rgb="FF9C6500"/>
              </font>
              <fill>
                <patternFill>
                  <bgColor rgb="FFFFEB9C"/>
                </patternFill>
              </fill>
            </x14:dxf>
          </x14:cfRule>
          <xm:sqref>AA466</xm:sqref>
        </x14:conditionalFormatting>
        <x14:conditionalFormatting xmlns:xm="http://schemas.microsoft.com/office/excel/2006/main">
          <x14:cfRule type="containsText" priority="512" operator="containsText" id="{5F5E46CC-5E50-432E-8FB3-C2ED80185B20}">
            <xm:f>NOT(ISERROR(SEARCH(#REF!,AA467)))</xm:f>
            <xm:f>#REF!</xm:f>
            <x14:dxf>
              <fill>
                <patternFill>
                  <bgColor rgb="FF92D050"/>
                </patternFill>
              </fill>
            </x14:dxf>
          </x14:cfRule>
          <x14:cfRule type="containsText" priority="513" operator="containsText" id="{AB21DFDE-6019-4F8E-A203-74E81C3C1630}">
            <xm:f>NOT(ISERROR(SEARCH(#REF!,AA467)))</xm:f>
            <xm:f>#REF!</xm:f>
            <x14:dxf>
              <fill>
                <patternFill>
                  <bgColor theme="0" tint="-0.14996795556505021"/>
                </patternFill>
              </fill>
            </x14:dxf>
          </x14:cfRule>
          <x14:cfRule type="containsText" priority="514" operator="containsText" id="{332EF430-664A-4182-ABD7-101A7B6190E0}">
            <xm:f>NOT(ISERROR(SEARCH(#REF!,AA467)))</xm:f>
            <xm:f>#REF!</xm:f>
            <x14:dxf>
              <font>
                <color rgb="FF9C6500"/>
              </font>
              <fill>
                <patternFill>
                  <bgColor rgb="FFFFEB9C"/>
                </patternFill>
              </fill>
            </x14:dxf>
          </x14:cfRule>
          <xm:sqref>AA467:AA468</xm:sqref>
        </x14:conditionalFormatting>
        <x14:conditionalFormatting xmlns:xm="http://schemas.microsoft.com/office/excel/2006/main">
          <x14:cfRule type="containsText" priority="508" operator="containsText" id="{1CDF1EE2-F4F5-49ED-A624-BB7270F22731}">
            <xm:f>NOT(ISERROR(SEARCH(#REF!,AA469)))</xm:f>
            <xm:f>#REF!</xm:f>
            <x14:dxf>
              <fill>
                <patternFill>
                  <bgColor rgb="FF92D050"/>
                </patternFill>
              </fill>
            </x14:dxf>
          </x14:cfRule>
          <x14:cfRule type="containsText" priority="509" operator="containsText" id="{EF5FE039-A021-427D-8244-0BCAA8EFA796}">
            <xm:f>NOT(ISERROR(SEARCH(#REF!,AA469)))</xm:f>
            <xm:f>#REF!</xm:f>
            <x14:dxf>
              <fill>
                <patternFill>
                  <bgColor theme="0" tint="-0.14996795556505021"/>
                </patternFill>
              </fill>
            </x14:dxf>
          </x14:cfRule>
          <x14:cfRule type="containsText" priority="510" operator="containsText" id="{82255BB5-D020-4A10-8B5F-6333C2D59379}">
            <xm:f>NOT(ISERROR(SEARCH(#REF!,AA469)))</xm:f>
            <xm:f>#REF!</xm:f>
            <x14:dxf>
              <font>
                <color rgb="FF9C6500"/>
              </font>
              <fill>
                <patternFill>
                  <bgColor rgb="FFFFEB9C"/>
                </patternFill>
              </fill>
            </x14:dxf>
          </x14:cfRule>
          <xm:sqref>AA469</xm:sqref>
        </x14:conditionalFormatting>
        <x14:conditionalFormatting xmlns:xm="http://schemas.microsoft.com/office/excel/2006/main">
          <x14:cfRule type="containsText" priority="504" operator="containsText" id="{968B8418-BDB9-4C5D-A1F1-E42F30AC3996}">
            <xm:f>NOT(ISERROR(SEARCH(#REF!,AA470)))</xm:f>
            <xm:f>#REF!</xm:f>
            <x14:dxf>
              <fill>
                <patternFill>
                  <bgColor rgb="FF92D050"/>
                </patternFill>
              </fill>
            </x14:dxf>
          </x14:cfRule>
          <x14:cfRule type="containsText" priority="505" operator="containsText" id="{F37EF12E-FFE9-47AD-8B46-4481F27A7BDA}">
            <xm:f>NOT(ISERROR(SEARCH(#REF!,AA470)))</xm:f>
            <xm:f>#REF!</xm:f>
            <x14:dxf>
              <fill>
                <patternFill>
                  <bgColor theme="0" tint="-0.14996795556505021"/>
                </patternFill>
              </fill>
            </x14:dxf>
          </x14:cfRule>
          <x14:cfRule type="containsText" priority="506" operator="containsText" id="{44AF086E-4E72-44C8-8012-3EDA26209A70}">
            <xm:f>NOT(ISERROR(SEARCH(#REF!,AA470)))</xm:f>
            <xm:f>#REF!</xm:f>
            <x14:dxf>
              <font>
                <color rgb="FF9C6500"/>
              </font>
              <fill>
                <patternFill>
                  <bgColor rgb="FFFFEB9C"/>
                </patternFill>
              </fill>
            </x14:dxf>
          </x14:cfRule>
          <xm:sqref>AA470</xm:sqref>
        </x14:conditionalFormatting>
        <x14:conditionalFormatting xmlns:xm="http://schemas.microsoft.com/office/excel/2006/main">
          <x14:cfRule type="containsText" priority="500" operator="containsText" id="{6C5C7D48-AC52-4F2B-8DBC-AB079F06A6B6}">
            <xm:f>NOT(ISERROR(SEARCH(#REF!,AA471)))</xm:f>
            <xm:f>#REF!</xm:f>
            <x14:dxf>
              <fill>
                <patternFill>
                  <bgColor rgb="FF92D050"/>
                </patternFill>
              </fill>
            </x14:dxf>
          </x14:cfRule>
          <x14:cfRule type="containsText" priority="501" operator="containsText" id="{66DB9A52-7957-4269-83B4-8F651926F4A1}">
            <xm:f>NOT(ISERROR(SEARCH(#REF!,AA471)))</xm:f>
            <xm:f>#REF!</xm:f>
            <x14:dxf>
              <fill>
                <patternFill>
                  <bgColor theme="0" tint="-0.14996795556505021"/>
                </patternFill>
              </fill>
            </x14:dxf>
          </x14:cfRule>
          <x14:cfRule type="containsText" priority="502" operator="containsText" id="{76B1F038-B2BC-4E63-B113-5E174AE47704}">
            <xm:f>NOT(ISERROR(SEARCH(#REF!,AA471)))</xm:f>
            <xm:f>#REF!</xm:f>
            <x14:dxf>
              <font>
                <color rgb="FF9C6500"/>
              </font>
              <fill>
                <patternFill>
                  <bgColor rgb="FFFFEB9C"/>
                </patternFill>
              </fill>
            </x14:dxf>
          </x14:cfRule>
          <xm:sqref>AA471</xm:sqref>
        </x14:conditionalFormatting>
        <x14:conditionalFormatting xmlns:xm="http://schemas.microsoft.com/office/excel/2006/main">
          <x14:cfRule type="containsText" priority="496" operator="containsText" id="{55F7264A-A9DE-4766-8271-ED86D0502672}">
            <xm:f>NOT(ISERROR(SEARCH(#REF!,AA472)))</xm:f>
            <xm:f>#REF!</xm:f>
            <x14:dxf>
              <fill>
                <patternFill>
                  <bgColor rgb="FF92D050"/>
                </patternFill>
              </fill>
            </x14:dxf>
          </x14:cfRule>
          <x14:cfRule type="containsText" priority="497" operator="containsText" id="{092D205D-76B5-4851-A872-7BA378B32141}">
            <xm:f>NOT(ISERROR(SEARCH(#REF!,AA472)))</xm:f>
            <xm:f>#REF!</xm:f>
            <x14:dxf>
              <fill>
                <patternFill>
                  <bgColor theme="0" tint="-0.14996795556505021"/>
                </patternFill>
              </fill>
            </x14:dxf>
          </x14:cfRule>
          <x14:cfRule type="containsText" priority="498" operator="containsText" id="{07357BCC-3902-484A-89D2-C86049C5EB20}">
            <xm:f>NOT(ISERROR(SEARCH(#REF!,AA472)))</xm:f>
            <xm:f>#REF!</xm:f>
            <x14:dxf>
              <font>
                <color rgb="FF9C6500"/>
              </font>
              <fill>
                <patternFill>
                  <bgColor rgb="FFFFEB9C"/>
                </patternFill>
              </fill>
            </x14:dxf>
          </x14:cfRule>
          <xm:sqref>AA472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3F29F-C00D-4E6A-B006-0056E94F8F7E}">
  <dimension ref="A3:I46"/>
  <sheetViews>
    <sheetView workbookViewId="0">
      <selection activeCell="D5" sqref="D5"/>
    </sheetView>
  </sheetViews>
  <sheetFormatPr defaultRowHeight="15"/>
  <cols>
    <col min="1" max="1" width="25.453125" bestFit="1" customWidth="1"/>
    <col min="2" max="4" width="16.08984375" customWidth="1"/>
  </cols>
  <sheetData>
    <row r="3" spans="1:9" ht="42" customHeight="1">
      <c r="B3" s="944" t="s">
        <v>4450</v>
      </c>
      <c r="C3" s="944" t="s">
        <v>4451</v>
      </c>
      <c r="D3" s="944" t="s">
        <v>4452</v>
      </c>
      <c r="F3" s="917" t="s">
        <v>4453</v>
      </c>
      <c r="G3" s="917" t="s">
        <v>4454</v>
      </c>
      <c r="H3" s="917" t="s">
        <v>4455</v>
      </c>
      <c r="I3" s="917" t="s">
        <v>4456</v>
      </c>
    </row>
    <row r="4" spans="1:9" ht="15.6">
      <c r="A4" s="937" t="s">
        <v>4457</v>
      </c>
      <c r="B4" s="947"/>
      <c r="C4" s="947"/>
      <c r="D4" s="948"/>
    </row>
    <row r="5" spans="1:9">
      <c r="A5" s="943" t="s">
        <v>150</v>
      </c>
      <c r="B5" s="940" t="e">
        <f>COUNTIF('ALL Projects'!#REF!,A5)</f>
        <v>#REF!</v>
      </c>
      <c r="C5" s="941" t="e">
        <f>COUNTIFS('ALL Projects'!#REF!,A5,'ALL Projects'!#REF!,"&lt;8")</f>
        <v>#REF!</v>
      </c>
      <c r="D5" s="942" t="e">
        <f t="shared" ref="D5:D10" si="0">IF(B5=0,"N/A",C5/B5)</f>
        <v>#REF!</v>
      </c>
      <c r="F5" s="916" t="e">
        <f>COUNTIFS('ALL Projects'!#REF!,A5,'ALL Projects'!#REF!,"&lt;15")-C5</f>
        <v>#REF!</v>
      </c>
      <c r="G5" s="916" t="e">
        <f>COUNTIFS('ALL Projects'!#REF!,A5,'ALL Projects'!#REF!,"&lt;22")-C5-F5</f>
        <v>#REF!</v>
      </c>
      <c r="H5" s="916" t="e">
        <f>COUNTIFS('ALL Projects'!#REF!,A5,'ALL Projects'!#REF!,"&lt;29")-C5-F5-G5</f>
        <v>#REF!</v>
      </c>
      <c r="I5" s="916" t="e">
        <f>COUNTIFS('ALL Projects'!#REF!,A5,'ALL Projects'!#REF!,"&gt;28")</f>
        <v>#REF!</v>
      </c>
    </row>
    <row r="6" spans="1:9">
      <c r="A6" s="932" t="s">
        <v>178</v>
      </c>
      <c r="B6" s="934" t="e">
        <f>COUNTIF('ALL Projects'!#REF!,A6)</f>
        <v>#REF!</v>
      </c>
      <c r="C6" s="935" t="e">
        <f>COUNTIFS('ALL Projects'!#REF!,A6,'ALL Projects'!#REF!,"&lt;8")</f>
        <v>#REF!</v>
      </c>
      <c r="D6" s="936" t="e">
        <f t="shared" si="0"/>
        <v>#REF!</v>
      </c>
      <c r="F6" s="916" t="e">
        <f>COUNTIFS('ALL Projects'!#REF!,A6,'ALL Projects'!#REF!,"&lt;15")-C6</f>
        <v>#REF!</v>
      </c>
      <c r="G6" s="916" t="e">
        <f>COUNTIFS('ALL Projects'!#REF!,A6,'ALL Projects'!#REF!,"&lt;22")-C6-F6</f>
        <v>#REF!</v>
      </c>
      <c r="H6" s="916" t="e">
        <f>COUNTIFS('ALL Projects'!#REF!,A6,'ALL Projects'!#REF!,"&lt;29")-C6-F6-G6</f>
        <v>#REF!</v>
      </c>
      <c r="I6" s="916" t="e">
        <f>COUNTIFS('ALL Projects'!#REF!,A6,'ALL Projects'!#REF!,"&gt;28")</f>
        <v>#REF!</v>
      </c>
    </row>
    <row r="7" spans="1:9">
      <c r="A7" s="932" t="s">
        <v>4458</v>
      </c>
      <c r="B7" s="934" t="e">
        <f>COUNTIF('ALL Projects'!#REF!,A7)</f>
        <v>#REF!</v>
      </c>
      <c r="C7" s="935" t="e">
        <f>COUNTIFS('ALL Projects'!#REF!,A7,'ALL Projects'!#REF!,"&lt;8")</f>
        <v>#REF!</v>
      </c>
      <c r="D7" s="936" t="e">
        <f t="shared" si="0"/>
        <v>#REF!</v>
      </c>
      <c r="F7" s="916" t="e">
        <f>COUNTIFS('ALL Projects'!#REF!,A7,'ALL Projects'!#REF!,"&lt;15")-C7</f>
        <v>#REF!</v>
      </c>
      <c r="G7" s="916" t="e">
        <f>COUNTIFS('ALL Projects'!#REF!,A7,'ALL Projects'!#REF!,"&lt;22")-C7-F7</f>
        <v>#REF!</v>
      </c>
      <c r="H7" s="916" t="e">
        <f>COUNTIFS('ALL Projects'!#REF!,A7,'ALL Projects'!#REF!,"&lt;29")-C7-F7-G7</f>
        <v>#REF!</v>
      </c>
      <c r="I7" s="916" t="e">
        <f>COUNTIFS('ALL Projects'!#REF!,A7,'ALL Projects'!#REF!,"&gt;28")</f>
        <v>#REF!</v>
      </c>
    </row>
    <row r="8" spans="1:9">
      <c r="A8" s="932" t="s">
        <v>38</v>
      </c>
      <c r="B8" s="934" t="e">
        <f>COUNTIF('ALL Projects'!#REF!,A8)</f>
        <v>#REF!</v>
      </c>
      <c r="C8" s="935" t="e">
        <f>COUNTIFS('ALL Projects'!#REF!,A8,'ALL Projects'!#REF!,"&lt;8")</f>
        <v>#REF!</v>
      </c>
      <c r="D8" s="936" t="e">
        <f t="shared" si="0"/>
        <v>#REF!</v>
      </c>
      <c r="F8" s="916" t="e">
        <f>COUNTIFS('ALL Projects'!#REF!,A8,'ALL Projects'!#REF!,"&lt;15")-C8</f>
        <v>#REF!</v>
      </c>
      <c r="G8" s="916" t="e">
        <f>COUNTIFS('ALL Projects'!#REF!,A8,'ALL Projects'!#REF!,"&lt;22")-C8-F8</f>
        <v>#REF!</v>
      </c>
      <c r="H8" s="916" t="e">
        <f>COUNTIFS('ALL Projects'!#REF!,A8,'ALL Projects'!#REF!,"&lt;29")-C8-F8-G8</f>
        <v>#REF!</v>
      </c>
      <c r="I8" s="916" t="e">
        <f>COUNTIFS('ALL Projects'!#REF!,A8,'ALL Projects'!#REF!,"&gt;28")</f>
        <v>#REF!</v>
      </c>
    </row>
    <row r="9" spans="1:9">
      <c r="A9" s="932" t="s">
        <v>99</v>
      </c>
      <c r="B9" s="934" t="e">
        <f>COUNTIF('ALL Projects'!#REF!,A9)</f>
        <v>#REF!</v>
      </c>
      <c r="C9" s="935" t="e">
        <f>COUNTIFS('ALL Projects'!#REF!,A9,'ALL Projects'!#REF!,"&lt;8")</f>
        <v>#REF!</v>
      </c>
      <c r="D9" s="936" t="e">
        <f t="shared" si="0"/>
        <v>#REF!</v>
      </c>
      <c r="F9" s="916" t="e">
        <f>COUNTIFS('ALL Projects'!#REF!,A9,'ALL Projects'!#REF!,"&lt;15")-C9</f>
        <v>#REF!</v>
      </c>
      <c r="G9" s="916" t="e">
        <f>COUNTIFS('ALL Projects'!#REF!,A9,'ALL Projects'!#REF!,"&lt;22")-C9-F9</f>
        <v>#REF!</v>
      </c>
      <c r="H9" s="916" t="e">
        <f>COUNTIFS('ALL Projects'!#REF!,A9,'ALL Projects'!#REF!,"&lt;29")-C9-F9-G9</f>
        <v>#REF!</v>
      </c>
      <c r="I9" s="916" t="e">
        <f>COUNTIFS('ALL Projects'!#REF!,A9,'ALL Projects'!#REF!,"&gt;28")</f>
        <v>#REF!</v>
      </c>
    </row>
    <row r="10" spans="1:9">
      <c r="A10" s="932" t="s">
        <v>2525</v>
      </c>
      <c r="B10" s="934" t="e">
        <f>COUNTIF('ALL Projects'!#REF!,A10)</f>
        <v>#REF!</v>
      </c>
      <c r="C10" s="935" t="e">
        <f>COUNTIFS('ALL Projects'!#REF!,A10,'ALL Projects'!#REF!,"&lt;8")</f>
        <v>#REF!</v>
      </c>
      <c r="D10" s="936" t="e">
        <f t="shared" si="0"/>
        <v>#REF!</v>
      </c>
      <c r="F10" s="916" t="e">
        <f>COUNTIFS('ALL Projects'!#REF!,A10,'ALL Projects'!#REF!,"&lt;15")-C10</f>
        <v>#REF!</v>
      </c>
      <c r="G10" s="916" t="e">
        <f>COUNTIFS('ALL Projects'!#REF!,A10,'ALL Projects'!#REF!,"&lt;22")-C10-F10</f>
        <v>#REF!</v>
      </c>
      <c r="H10" s="916" t="e">
        <f>COUNTIFS('ALL Projects'!#REF!,A10,'ALL Projects'!#REF!,"&lt;29")-C10-F10-G10</f>
        <v>#REF!</v>
      </c>
      <c r="I10" s="916" t="e">
        <f>COUNTIFS('ALL Projects'!#REF!,A10,'ALL Projects'!#REF!,"&gt;28")</f>
        <v>#REF!</v>
      </c>
    </row>
    <row r="11" spans="1:9">
      <c r="A11" s="932" t="s">
        <v>79</v>
      </c>
      <c r="B11" s="934" t="e">
        <f>COUNTIF('ALL Projects'!#REF!,A11)</f>
        <v>#REF!</v>
      </c>
      <c r="C11" s="935" t="e">
        <f>COUNTIFS('ALL Projects'!#REF!,A11,'ALL Projects'!#REF!,"&lt;8")</f>
        <v>#REF!</v>
      </c>
      <c r="D11" s="936" t="e">
        <f t="shared" ref="D11:D29" si="1">IF(B11=0,"N/A",C11/B11)</f>
        <v>#REF!</v>
      </c>
      <c r="F11" s="916" t="e">
        <f>COUNTIFS('ALL Projects'!#REF!,A11,'ALL Projects'!#REF!,"&lt;15")-C11</f>
        <v>#REF!</v>
      </c>
      <c r="G11" s="916" t="e">
        <f>COUNTIFS('ALL Projects'!#REF!,A11,'ALL Projects'!#REF!,"&lt;22")-C11-F11</f>
        <v>#REF!</v>
      </c>
      <c r="H11" s="916" t="e">
        <f>COUNTIFS('ALL Projects'!#REF!,A11,'ALL Projects'!#REF!,"&lt;29")-C11-F11-G11</f>
        <v>#REF!</v>
      </c>
      <c r="I11" s="916" t="e">
        <f>COUNTIFS('ALL Projects'!#REF!,A11,'ALL Projects'!#REF!,"&gt;28")</f>
        <v>#REF!</v>
      </c>
    </row>
    <row r="12" spans="1:9" ht="15" customHeight="1">
      <c r="A12" s="932" t="s">
        <v>284</v>
      </c>
      <c r="B12" s="934" t="e">
        <f>COUNTIF('ALL Projects'!#REF!,A12)</f>
        <v>#REF!</v>
      </c>
      <c r="C12" s="935" t="e">
        <f>COUNTIFS('ALL Projects'!#REF!,A12,'ALL Projects'!#REF!,"&lt;8")</f>
        <v>#REF!</v>
      </c>
      <c r="D12" s="936" t="e">
        <f t="shared" si="1"/>
        <v>#REF!</v>
      </c>
      <c r="F12" s="916" t="e">
        <f>COUNTIFS('ALL Projects'!#REF!,A12,'ALL Projects'!#REF!,"&lt;15")-C12</f>
        <v>#REF!</v>
      </c>
      <c r="G12" s="916" t="e">
        <f>COUNTIFS('ALL Projects'!#REF!,A12,'ALL Projects'!#REF!,"&lt;22")-C12-F12</f>
        <v>#REF!</v>
      </c>
      <c r="H12" s="916" t="e">
        <f>COUNTIFS('ALL Projects'!#REF!,A12,'ALL Projects'!#REF!,"&lt;29")-C12-F12-G12</f>
        <v>#REF!</v>
      </c>
      <c r="I12" s="916" t="e">
        <f>COUNTIFS('ALL Projects'!#REF!,A12,'ALL Projects'!#REF!,"&gt;28")</f>
        <v>#REF!</v>
      </c>
    </row>
    <row r="13" spans="1:9">
      <c r="A13" s="932" t="s">
        <v>411</v>
      </c>
      <c r="B13" s="934" t="e">
        <f>COUNTIF('ALL Projects'!#REF!,A13)</f>
        <v>#REF!</v>
      </c>
      <c r="C13" s="935" t="e">
        <f>COUNTIFS('ALL Projects'!#REF!,A13,'ALL Projects'!#REF!,"&lt;8")</f>
        <v>#REF!</v>
      </c>
      <c r="D13" s="936" t="e">
        <f t="shared" si="1"/>
        <v>#REF!</v>
      </c>
      <c r="F13" s="916" t="e">
        <f>COUNTIFS('ALL Projects'!#REF!,A13,'ALL Projects'!#REF!,"&lt;15")-C13</f>
        <v>#REF!</v>
      </c>
      <c r="G13" s="916" t="e">
        <f>COUNTIFS('ALL Projects'!#REF!,A13,'ALL Projects'!#REF!,"&lt;22")-C13-F13</f>
        <v>#REF!</v>
      </c>
      <c r="H13" s="916" t="e">
        <f>COUNTIFS('ALL Projects'!#REF!,A13,'ALL Projects'!#REF!,"&lt;29")-C13-F13-G13</f>
        <v>#REF!</v>
      </c>
      <c r="I13" s="916" t="e">
        <f>COUNTIFS('ALL Projects'!#REF!,A13,'ALL Projects'!#REF!,"&gt;28")</f>
        <v>#REF!</v>
      </c>
    </row>
    <row r="14" spans="1:9">
      <c r="A14" s="932" t="s">
        <v>4459</v>
      </c>
      <c r="B14" s="934" t="e">
        <f>COUNTIF('ALL Projects'!#REF!,A14)</f>
        <v>#REF!</v>
      </c>
      <c r="C14" s="935" t="e">
        <f>COUNTIFS('ALL Projects'!#REF!,A14,'ALL Projects'!#REF!,"&lt;8")</f>
        <v>#REF!</v>
      </c>
      <c r="D14" s="936" t="e">
        <f t="shared" si="1"/>
        <v>#REF!</v>
      </c>
      <c r="F14" s="916" t="e">
        <f>COUNTIFS('ALL Projects'!#REF!,A14,'ALL Projects'!#REF!,"&lt;15")-C14</f>
        <v>#REF!</v>
      </c>
      <c r="G14" s="916" t="e">
        <f>COUNTIFS('ALL Projects'!#REF!,A14,'ALL Projects'!#REF!,"&lt;22")-C14-F14</f>
        <v>#REF!</v>
      </c>
      <c r="H14" s="916" t="e">
        <f>COUNTIFS('ALL Projects'!#REF!,A14,'ALL Projects'!#REF!,"&lt;29")-C14-F14-G14</f>
        <v>#REF!</v>
      </c>
      <c r="I14" s="916" t="e">
        <f>COUNTIFS('ALL Projects'!#REF!,A14,'ALL Projects'!#REF!,"&gt;28")</f>
        <v>#REF!</v>
      </c>
    </row>
    <row r="15" spans="1:9">
      <c r="A15" s="932" t="s">
        <v>2527</v>
      </c>
      <c r="B15" s="934" t="e">
        <f>COUNTIF('ALL Projects'!#REF!,A15)</f>
        <v>#REF!</v>
      </c>
      <c r="C15" s="935" t="e">
        <f>COUNTIFS('ALL Projects'!#REF!,A15,'ALL Projects'!#REF!,"&lt;8")</f>
        <v>#REF!</v>
      </c>
      <c r="D15" s="936" t="e">
        <f t="shared" si="1"/>
        <v>#REF!</v>
      </c>
      <c r="F15" s="916" t="e">
        <f>COUNTIFS('ALL Projects'!#REF!,A15,'ALL Projects'!#REF!,"&lt;15")-C15</f>
        <v>#REF!</v>
      </c>
      <c r="G15" s="916" t="e">
        <f>COUNTIFS('ALL Projects'!#REF!,A15,'ALL Projects'!#REF!,"&lt;22")-C15-F15</f>
        <v>#REF!</v>
      </c>
      <c r="H15" s="916" t="e">
        <f>COUNTIFS('ALL Projects'!#REF!,A15,'ALL Projects'!#REF!,"&lt;29")-C15-F15-G15</f>
        <v>#REF!</v>
      </c>
      <c r="I15" s="916" t="e">
        <f>COUNTIFS('ALL Projects'!#REF!,A15,'ALL Projects'!#REF!,"&gt;28")</f>
        <v>#REF!</v>
      </c>
    </row>
    <row r="16" spans="1:9">
      <c r="A16" s="932" t="s">
        <v>175</v>
      </c>
      <c r="B16" s="934" t="e">
        <f>COUNTIF('ALL Projects'!#REF!,A16)</f>
        <v>#REF!</v>
      </c>
      <c r="C16" s="935" t="e">
        <f>COUNTIFS('ALL Projects'!#REF!,A16,'ALL Projects'!#REF!,"&lt;8")</f>
        <v>#REF!</v>
      </c>
      <c r="D16" s="936" t="e">
        <f t="shared" si="1"/>
        <v>#REF!</v>
      </c>
      <c r="F16" s="916" t="e">
        <f>COUNTIFS('ALL Projects'!#REF!,A16,'ALL Projects'!#REF!,"&lt;15")-C16</f>
        <v>#REF!</v>
      </c>
      <c r="G16" s="916" t="e">
        <f>COUNTIFS('ALL Projects'!#REF!,A16,'ALL Projects'!#REF!,"&lt;22")-C16-F16</f>
        <v>#REF!</v>
      </c>
      <c r="H16" s="916" t="e">
        <f>COUNTIFS('ALL Projects'!#REF!,A16,'ALL Projects'!#REF!,"&lt;29")-C16-F16-G16</f>
        <v>#REF!</v>
      </c>
      <c r="I16" s="916" t="e">
        <f>COUNTIFS('ALL Projects'!#REF!,A16,'ALL Projects'!#REF!,"&gt;28")</f>
        <v>#REF!</v>
      </c>
    </row>
    <row r="17" spans="1:9">
      <c r="A17" s="932" t="s">
        <v>1053</v>
      </c>
      <c r="B17" s="934" t="e">
        <f>COUNTIF('ALL Projects'!#REF!,A17)</f>
        <v>#REF!</v>
      </c>
      <c r="C17" s="935" t="e">
        <f>COUNTIFS('ALL Projects'!#REF!,A17,'ALL Projects'!#REF!,"&lt;8")</f>
        <v>#REF!</v>
      </c>
      <c r="D17" s="936" t="e">
        <f t="shared" si="1"/>
        <v>#REF!</v>
      </c>
      <c r="F17" s="916" t="e">
        <f>COUNTIFS('ALL Projects'!#REF!,A17,'ALL Projects'!#REF!,"&lt;15")-C17</f>
        <v>#REF!</v>
      </c>
      <c r="G17" s="916" t="e">
        <f>COUNTIFS('ALL Projects'!#REF!,A17,'ALL Projects'!#REF!,"&lt;22")-C17-F17</f>
        <v>#REF!</v>
      </c>
      <c r="H17" s="916" t="e">
        <f>COUNTIFS('ALL Projects'!#REF!,A17,'ALL Projects'!#REF!,"&lt;29")-C17-F17-G17</f>
        <v>#REF!</v>
      </c>
      <c r="I17" s="916" t="e">
        <f>COUNTIFS('ALL Projects'!#REF!,A17,'ALL Projects'!#REF!,"&gt;28")</f>
        <v>#REF!</v>
      </c>
    </row>
    <row r="18" spans="1:9">
      <c r="A18" s="932" t="s">
        <v>94</v>
      </c>
      <c r="B18" s="934" t="e">
        <f>COUNTIF('ALL Projects'!#REF!,A18)</f>
        <v>#REF!</v>
      </c>
      <c r="C18" s="935" t="e">
        <f>COUNTIFS('ALL Projects'!#REF!,A18,'ALL Projects'!#REF!,"&lt;8")</f>
        <v>#REF!</v>
      </c>
      <c r="D18" s="936" t="e">
        <f t="shared" si="1"/>
        <v>#REF!</v>
      </c>
      <c r="F18" s="916" t="e">
        <f>COUNTIFS('ALL Projects'!#REF!,A18,'ALL Projects'!#REF!,"&lt;15")-C18</f>
        <v>#REF!</v>
      </c>
      <c r="G18" s="916" t="e">
        <f>COUNTIFS('ALL Projects'!#REF!,A18,'ALL Projects'!#REF!,"&lt;22")-C18-F18</f>
        <v>#REF!</v>
      </c>
      <c r="H18" s="916" t="e">
        <f>COUNTIFS('ALL Projects'!#REF!,A18,'ALL Projects'!#REF!,"&lt;29")-C18-F18-G18</f>
        <v>#REF!</v>
      </c>
      <c r="I18" s="916" t="e">
        <f>COUNTIFS('ALL Projects'!#REF!,A18,'ALL Projects'!#REF!,"&gt;28")</f>
        <v>#REF!</v>
      </c>
    </row>
    <row r="19" spans="1:9">
      <c r="A19" s="932" t="s">
        <v>90</v>
      </c>
      <c r="B19" s="934" t="e">
        <f>COUNTIF('ALL Projects'!#REF!,A19)</f>
        <v>#REF!</v>
      </c>
      <c r="C19" s="935" t="e">
        <f>COUNTIFS('ALL Projects'!#REF!,A19,'ALL Projects'!#REF!,"&lt;8")</f>
        <v>#REF!</v>
      </c>
      <c r="D19" s="936" t="e">
        <f t="shared" si="1"/>
        <v>#REF!</v>
      </c>
      <c r="F19" s="916" t="e">
        <f>COUNTIFS('ALL Projects'!#REF!,A19,'ALL Projects'!#REF!,"&lt;15")-C19</f>
        <v>#REF!</v>
      </c>
      <c r="G19" s="916" t="e">
        <f>COUNTIFS('ALL Projects'!#REF!,A19,'ALL Projects'!#REF!,"&lt;22")-C19-F19</f>
        <v>#REF!</v>
      </c>
      <c r="H19" s="916" t="e">
        <f>COUNTIFS('ALL Projects'!#REF!,A19,'ALL Projects'!#REF!,"&lt;29")-C19-F19-G19</f>
        <v>#REF!</v>
      </c>
      <c r="I19" s="916" t="e">
        <f>COUNTIFS('ALL Projects'!#REF!,A19,'ALL Projects'!#REF!,"&gt;28")</f>
        <v>#REF!</v>
      </c>
    </row>
    <row r="20" spans="1:9">
      <c r="A20" s="932" t="s">
        <v>844</v>
      </c>
      <c r="B20" s="934" t="e">
        <f>COUNTIF('ALL Projects'!#REF!,A20)</f>
        <v>#REF!</v>
      </c>
      <c r="C20" s="935" t="e">
        <f>COUNTIFS('ALL Projects'!#REF!,A20,'ALL Projects'!#REF!,"&lt;8")</f>
        <v>#REF!</v>
      </c>
      <c r="D20" s="936" t="e">
        <f t="shared" si="1"/>
        <v>#REF!</v>
      </c>
      <c r="F20" s="916" t="e">
        <f>COUNTIFS('ALL Projects'!#REF!,A20,'ALL Projects'!#REF!,"&lt;15")-C20</f>
        <v>#REF!</v>
      </c>
      <c r="G20" s="916" t="e">
        <f>COUNTIFS('ALL Projects'!#REF!,A20,'ALL Projects'!#REF!,"&lt;22")-C20-F20</f>
        <v>#REF!</v>
      </c>
      <c r="H20" s="916" t="e">
        <f>COUNTIFS('ALL Projects'!#REF!,A20,'ALL Projects'!#REF!,"&lt;29")-C20-F20-G20</f>
        <v>#REF!</v>
      </c>
      <c r="I20" s="916" t="e">
        <f>COUNTIFS('ALL Projects'!#REF!,A20,'ALL Projects'!#REF!,"&gt;28")</f>
        <v>#REF!</v>
      </c>
    </row>
    <row r="21" spans="1:9">
      <c r="A21" s="932" t="s">
        <v>47</v>
      </c>
      <c r="B21" s="934" t="e">
        <f>COUNTIF('ALL Projects'!#REF!,A21)</f>
        <v>#REF!</v>
      </c>
      <c r="C21" s="935" t="e">
        <f>COUNTIFS('ALL Projects'!#REF!,A21,'ALL Projects'!#REF!,"&lt;8")</f>
        <v>#REF!</v>
      </c>
      <c r="D21" s="936" t="e">
        <f t="shared" si="1"/>
        <v>#REF!</v>
      </c>
      <c r="F21" s="916" t="e">
        <f>COUNTIFS('ALL Projects'!#REF!,A21,'ALL Projects'!#REF!,"&lt;15")-C21</f>
        <v>#REF!</v>
      </c>
      <c r="G21" s="916" t="e">
        <f>COUNTIFS('ALL Projects'!#REF!,A21,'ALL Projects'!#REF!,"&lt;22")-C21-F21</f>
        <v>#REF!</v>
      </c>
      <c r="H21" s="916" t="e">
        <f>COUNTIFS('ALL Projects'!#REF!,A21,'ALL Projects'!#REF!,"&lt;29")-C21-F21-G21</f>
        <v>#REF!</v>
      </c>
      <c r="I21" s="916" t="e">
        <f>COUNTIFS('ALL Projects'!#REF!,A21,'ALL Projects'!#REF!,"&gt;28")</f>
        <v>#REF!</v>
      </c>
    </row>
    <row r="22" spans="1:9">
      <c r="A22" s="932" t="s">
        <v>4460</v>
      </c>
      <c r="B22" s="934" t="e">
        <f>COUNTIF('ALL Projects'!#REF!,A22)</f>
        <v>#REF!</v>
      </c>
      <c r="C22" s="935" t="e">
        <f>COUNTIFS('ALL Projects'!#REF!,A22,'ALL Projects'!#REF!,"&lt;8")</f>
        <v>#REF!</v>
      </c>
      <c r="D22" s="936" t="e">
        <f t="shared" si="1"/>
        <v>#REF!</v>
      </c>
      <c r="F22" s="916" t="e">
        <f>COUNTIFS('ALL Projects'!#REF!,A22,'ALL Projects'!#REF!,"&lt;15")-C22</f>
        <v>#REF!</v>
      </c>
      <c r="G22" s="916" t="e">
        <f>COUNTIFS('ALL Projects'!#REF!,A22,'ALL Projects'!#REF!,"&lt;22")-C22-F22</f>
        <v>#REF!</v>
      </c>
      <c r="H22" s="916" t="e">
        <f>COUNTIFS('ALL Projects'!#REF!,A22,'ALL Projects'!#REF!,"&lt;29")-C22-F22-G22</f>
        <v>#REF!</v>
      </c>
      <c r="I22" s="916" t="e">
        <f>COUNTIFS('ALL Projects'!#REF!,A22,'ALL Projects'!#REF!,"&gt;28")</f>
        <v>#REF!</v>
      </c>
    </row>
    <row r="23" spans="1:9">
      <c r="A23" s="932" t="s">
        <v>254</v>
      </c>
      <c r="B23" s="934" t="e">
        <f>COUNTIF('ALL Projects'!#REF!,A23)</f>
        <v>#REF!</v>
      </c>
      <c r="C23" s="935" t="e">
        <f>COUNTIFS('ALL Projects'!#REF!,A23,'ALL Projects'!#REF!,"&lt;8")</f>
        <v>#REF!</v>
      </c>
      <c r="D23" s="936" t="e">
        <f t="shared" si="1"/>
        <v>#REF!</v>
      </c>
      <c r="F23" s="916" t="e">
        <f>COUNTIFS('ALL Projects'!#REF!,A23,'ALL Projects'!#REF!,"&lt;15")-C23</f>
        <v>#REF!</v>
      </c>
      <c r="G23" s="916" t="e">
        <f>COUNTIFS('ALL Projects'!#REF!,A23,'ALL Projects'!#REF!,"&lt;22")-C23-F23</f>
        <v>#REF!</v>
      </c>
      <c r="H23" s="916" t="e">
        <f>COUNTIFS('ALL Projects'!#REF!,A23,'ALL Projects'!#REF!,"&lt;29")-C23-F23-G23</f>
        <v>#REF!</v>
      </c>
      <c r="I23" s="916" t="e">
        <f>COUNTIFS('ALL Projects'!#REF!,A23,'ALL Projects'!#REF!,"&gt;28")</f>
        <v>#REF!</v>
      </c>
    </row>
    <row r="24" spans="1:9">
      <c r="A24" s="932" t="s">
        <v>1236</v>
      </c>
      <c r="B24" s="934" t="e">
        <f>COUNTIF('ALL Projects'!#REF!,A24)</f>
        <v>#REF!</v>
      </c>
      <c r="C24" s="935" t="e">
        <f>COUNTIFS('ALL Projects'!#REF!,A24,'ALL Projects'!#REF!,"&lt;8")</f>
        <v>#REF!</v>
      </c>
      <c r="D24" s="936" t="e">
        <f t="shared" si="1"/>
        <v>#REF!</v>
      </c>
      <c r="F24" s="916" t="e">
        <f>COUNTIFS('ALL Projects'!#REF!,A24,'ALL Projects'!#REF!,"&lt;15")-C24</f>
        <v>#REF!</v>
      </c>
      <c r="G24" s="916" t="e">
        <f>COUNTIFS('ALL Projects'!#REF!,A24,'ALL Projects'!#REF!,"&lt;22")-C24-F24</f>
        <v>#REF!</v>
      </c>
      <c r="H24" s="916" t="e">
        <f>COUNTIFS('ALL Projects'!#REF!,A24,'ALL Projects'!#REF!,"&lt;29")-C24-F24-G24</f>
        <v>#REF!</v>
      </c>
      <c r="I24" s="916" t="e">
        <f>COUNTIFS('ALL Projects'!#REF!,A24,'ALL Projects'!#REF!,"&gt;28")</f>
        <v>#REF!</v>
      </c>
    </row>
    <row r="25" spans="1:9">
      <c r="A25" s="932" t="s">
        <v>1097</v>
      </c>
      <c r="B25" s="934" t="e">
        <f>COUNTIF('ALL Projects'!#REF!,A25)</f>
        <v>#REF!</v>
      </c>
      <c r="C25" s="935" t="e">
        <f>COUNTIFS('ALL Projects'!#REF!,A25,'ALL Projects'!#REF!,"&lt;8")</f>
        <v>#REF!</v>
      </c>
      <c r="D25" s="936" t="e">
        <f t="shared" si="1"/>
        <v>#REF!</v>
      </c>
      <c r="F25" s="916" t="e">
        <f>COUNTIFS('ALL Projects'!#REF!,A25,'ALL Projects'!#REF!,"&lt;15")-C25</f>
        <v>#REF!</v>
      </c>
      <c r="G25" s="916" t="e">
        <f>COUNTIFS('ALL Projects'!#REF!,A25,'ALL Projects'!#REF!,"&lt;22")-C25-F25</f>
        <v>#REF!</v>
      </c>
      <c r="H25" s="916" t="e">
        <f>COUNTIFS('ALL Projects'!#REF!,A25,'ALL Projects'!#REF!,"&lt;29")-C25-F25-G25</f>
        <v>#REF!</v>
      </c>
      <c r="I25" s="916" t="e">
        <f>COUNTIFS('ALL Projects'!#REF!,A25,'ALL Projects'!#REF!,"&gt;28")</f>
        <v>#REF!</v>
      </c>
    </row>
    <row r="26" spans="1:9">
      <c r="A26" s="932" t="s">
        <v>58</v>
      </c>
      <c r="B26" s="934" t="e">
        <f>COUNTIF('ALL Projects'!#REF!,A26)</f>
        <v>#REF!</v>
      </c>
      <c r="C26" s="935" t="e">
        <f>COUNTIFS('ALL Projects'!#REF!,A26,'ALL Projects'!#REF!,"&lt;8")</f>
        <v>#REF!</v>
      </c>
      <c r="D26" s="936" t="e">
        <f t="shared" si="1"/>
        <v>#REF!</v>
      </c>
      <c r="F26" s="916" t="e">
        <f>COUNTIFS('ALL Projects'!#REF!,A26,'ALL Projects'!#REF!,"&lt;15")-C26</f>
        <v>#REF!</v>
      </c>
      <c r="G26" s="916" t="e">
        <f>COUNTIFS('ALL Projects'!#REF!,A26,'ALL Projects'!#REF!,"&lt;22")-C26-F26</f>
        <v>#REF!</v>
      </c>
      <c r="H26" s="916" t="e">
        <f>COUNTIFS('ALL Projects'!#REF!,A26,'ALL Projects'!#REF!,"&lt;29")-C26-F26-G26</f>
        <v>#REF!</v>
      </c>
      <c r="I26" s="916" t="e">
        <f>COUNTIFS('ALL Projects'!#REF!,A26,'ALL Projects'!#REF!,"&gt;28")</f>
        <v>#REF!</v>
      </c>
    </row>
    <row r="27" spans="1:9">
      <c r="A27" s="932" t="s">
        <v>219</v>
      </c>
      <c r="B27" s="934" t="e">
        <f>COUNTIF('ALL Projects'!#REF!,A27)</f>
        <v>#REF!</v>
      </c>
      <c r="C27" s="935" t="e">
        <f>COUNTIFS('ALL Projects'!#REF!,A27,'ALL Projects'!#REF!,"&lt;8")</f>
        <v>#REF!</v>
      </c>
      <c r="D27" s="936" t="e">
        <f t="shared" si="1"/>
        <v>#REF!</v>
      </c>
      <c r="F27" s="916" t="e">
        <f>COUNTIFS('ALL Projects'!#REF!,A27,'ALL Projects'!#REF!,"&lt;15")-C27</f>
        <v>#REF!</v>
      </c>
      <c r="G27" s="916" t="e">
        <f>COUNTIFS('ALL Projects'!#REF!,A27,'ALL Projects'!#REF!,"&lt;22")-C27-F27</f>
        <v>#REF!</v>
      </c>
      <c r="H27" s="916" t="e">
        <f>COUNTIFS('ALL Projects'!#REF!,A27,'ALL Projects'!#REF!,"&lt;29")-C27-F27-G27</f>
        <v>#REF!</v>
      </c>
      <c r="I27" s="916" t="e">
        <f>COUNTIFS('ALL Projects'!#REF!,A27,'ALL Projects'!#REF!,"&gt;28")</f>
        <v>#REF!</v>
      </c>
    </row>
    <row r="28" spans="1:9">
      <c r="A28" s="932" t="s">
        <v>363</v>
      </c>
      <c r="B28" s="934" t="e">
        <f>COUNTIF('ALL Projects'!#REF!,A28)</f>
        <v>#REF!</v>
      </c>
      <c r="C28" s="935" t="e">
        <f>COUNTIFS('ALL Projects'!#REF!,A28,'ALL Projects'!#REF!,"&lt;8")</f>
        <v>#REF!</v>
      </c>
      <c r="D28" s="936" t="e">
        <f t="shared" si="1"/>
        <v>#REF!</v>
      </c>
      <c r="F28" s="916" t="e">
        <f>COUNTIFS('ALL Projects'!#REF!,A28,'ALL Projects'!#REF!,"&lt;15")-C28</f>
        <v>#REF!</v>
      </c>
      <c r="G28" s="916" t="e">
        <f>COUNTIFS('ALL Projects'!#REF!,A28,'ALL Projects'!#REF!,"&lt;22")-C28-F28</f>
        <v>#REF!</v>
      </c>
      <c r="H28" s="916" t="e">
        <f>COUNTIFS('ALL Projects'!#REF!,A28,'ALL Projects'!#REF!,"&lt;29")-C28-F28-G28</f>
        <v>#REF!</v>
      </c>
      <c r="I28" s="916" t="e">
        <f>COUNTIFS('ALL Projects'!#REF!,A28,'ALL Projects'!#REF!,"&gt;28")</f>
        <v>#REF!</v>
      </c>
    </row>
    <row r="29" spans="1:9">
      <c r="A29" s="932" t="s">
        <v>184</v>
      </c>
      <c r="B29" s="934" t="e">
        <f>COUNTIF('ALL Projects'!#REF!,A29)</f>
        <v>#REF!</v>
      </c>
      <c r="C29" s="935" t="e">
        <f>COUNTIFS('ALL Projects'!#REF!,A29,'ALL Projects'!#REF!,"&lt;8")</f>
        <v>#REF!</v>
      </c>
      <c r="D29" s="936" t="e">
        <f t="shared" si="1"/>
        <v>#REF!</v>
      </c>
      <c r="F29" s="916" t="e">
        <f>COUNTIFS('ALL Projects'!#REF!,A29,'ALL Projects'!#REF!,"&lt;15")-C29</f>
        <v>#REF!</v>
      </c>
      <c r="G29" s="916" t="e">
        <f>COUNTIFS('ALL Projects'!#REF!,A29,'ALL Projects'!#REF!,"&lt;22")-C29-F29</f>
        <v>#REF!</v>
      </c>
      <c r="H29" s="916" t="e">
        <f>COUNTIFS('ALL Projects'!#REF!,A29,'ALL Projects'!#REF!,"&lt;29")-C29-F29-G29</f>
        <v>#REF!</v>
      </c>
      <c r="I29" s="916" t="e">
        <f>COUNTIFS('ALL Projects'!#REF!,A29,'ALL Projects'!#REF!,"&gt;28")</f>
        <v>#REF!</v>
      </c>
    </row>
    <row r="30" spans="1:9" ht="15" customHeight="1">
      <c r="A30" s="918"/>
      <c r="C30" s="619"/>
      <c r="D30" s="619"/>
      <c r="F30" s="916"/>
      <c r="G30" s="916"/>
    </row>
    <row r="31" spans="1:9" ht="15.6">
      <c r="A31" s="937" t="s">
        <v>4461</v>
      </c>
      <c r="B31" s="947"/>
      <c r="C31" s="947"/>
      <c r="D31" s="938"/>
      <c r="F31" s="916"/>
      <c r="G31" s="916"/>
    </row>
    <row r="32" spans="1:9">
      <c r="A32" s="939" t="s">
        <v>68</v>
      </c>
      <c r="B32" s="940" t="e">
        <f>COUNTIF('ALL Projects'!#REF!,A32)</f>
        <v>#REF!</v>
      </c>
      <c r="C32" s="941" t="e">
        <f>COUNTIFS('ALL Projects'!#REF!,A32,'ALL Projects'!#REF!,"&lt;8")</f>
        <v>#REF!</v>
      </c>
      <c r="D32" s="942" t="e">
        <f t="shared" ref="D32:D37" si="2">IF(B32=0,"N/A",C32/B32)</f>
        <v>#REF!</v>
      </c>
      <c r="F32" s="916" t="e">
        <f>COUNTIFS('ALL Projects'!#REF!,A32,'ALL Projects'!#REF!,"&lt;15")-C32</f>
        <v>#REF!</v>
      </c>
      <c r="G32" s="916" t="e">
        <f>COUNTIFS('ALL Projects'!#REF!,A32,'ALL Projects'!#REF!,"&lt;22")-C32-F32</f>
        <v>#REF!</v>
      </c>
      <c r="H32" s="916" t="e">
        <f>COUNTIFS('ALL Projects'!#REF!,A32,'ALL Projects'!#REF!,"&lt;29")-C32-F32-G32</f>
        <v>#REF!</v>
      </c>
      <c r="I32" s="916" t="e">
        <f>COUNTIFS('ALL Projects'!#REF!,A32,'ALL Projects'!#REF!,"&gt;28")</f>
        <v>#REF!</v>
      </c>
    </row>
    <row r="33" spans="1:9">
      <c r="A33" s="933" t="s">
        <v>513</v>
      </c>
      <c r="B33" s="934" t="e">
        <f>COUNTIF('ALL Projects'!#REF!,A33)</f>
        <v>#REF!</v>
      </c>
      <c r="C33" s="935" t="e">
        <f>COUNTIFS('ALL Projects'!#REF!,A33,'ALL Projects'!#REF!,"&lt;8")</f>
        <v>#REF!</v>
      </c>
      <c r="D33" s="936" t="e">
        <f t="shared" si="2"/>
        <v>#REF!</v>
      </c>
      <c r="F33" s="916" t="e">
        <f>COUNTIFS('ALL Projects'!#REF!,A33,'ALL Projects'!#REF!,"&lt;15")-C33</f>
        <v>#REF!</v>
      </c>
      <c r="G33" s="916" t="e">
        <f>COUNTIFS('ALL Projects'!#REF!,A33,'ALL Projects'!#REF!,"&lt;22")-C33-F33</f>
        <v>#REF!</v>
      </c>
      <c r="H33" s="916" t="e">
        <f>COUNTIFS('ALL Projects'!#REF!,A33,'ALL Projects'!#REF!,"&lt;29")-C33-F33-G33</f>
        <v>#REF!</v>
      </c>
      <c r="I33" s="916" t="e">
        <f>COUNTIFS('ALL Projects'!#REF!,A33,'ALL Projects'!#REF!,"&gt;28")</f>
        <v>#REF!</v>
      </c>
    </row>
    <row r="34" spans="1:9">
      <c r="A34" s="933" t="s">
        <v>1119</v>
      </c>
      <c r="B34" s="934" t="e">
        <f>COUNTIF('ALL Projects'!#REF!,A34)</f>
        <v>#REF!</v>
      </c>
      <c r="C34" s="935" t="e">
        <f>COUNTIFS('ALL Projects'!#REF!,A34,'ALL Projects'!#REF!,"&lt;8")</f>
        <v>#REF!</v>
      </c>
      <c r="D34" s="936" t="e">
        <f t="shared" si="2"/>
        <v>#REF!</v>
      </c>
      <c r="F34" s="916" t="e">
        <f>COUNTIFS('ALL Projects'!#REF!,A34,'ALL Projects'!#REF!,"&lt;15")-C34</f>
        <v>#REF!</v>
      </c>
      <c r="G34" s="916" t="e">
        <f>COUNTIFS('ALL Projects'!#REF!,A34,'ALL Projects'!#REF!,"&lt;22")-C34-F34</f>
        <v>#REF!</v>
      </c>
      <c r="H34" s="916" t="e">
        <f>COUNTIFS('ALL Projects'!#REF!,A34,'ALL Projects'!#REF!,"&lt;29")-C34-F34-G34</f>
        <v>#REF!</v>
      </c>
      <c r="I34" s="916" t="e">
        <f>COUNTIFS('ALL Projects'!#REF!,A34,'ALL Projects'!#REF!,"&gt;28")</f>
        <v>#REF!</v>
      </c>
    </row>
    <row r="35" spans="1:9">
      <c r="A35" s="933" t="s">
        <v>199</v>
      </c>
      <c r="B35" s="934" t="e">
        <f>COUNTIF('ALL Projects'!#REF!,A35)</f>
        <v>#REF!</v>
      </c>
      <c r="C35" s="935" t="e">
        <f>COUNTIFS('ALL Projects'!#REF!,A35,'ALL Projects'!#REF!,"&lt;8")</f>
        <v>#REF!</v>
      </c>
      <c r="D35" s="936" t="e">
        <f t="shared" si="2"/>
        <v>#REF!</v>
      </c>
      <c r="F35" s="916" t="e">
        <f>COUNTIFS('ALL Projects'!#REF!,A35,'ALL Projects'!#REF!,"&lt;15")-C35</f>
        <v>#REF!</v>
      </c>
      <c r="G35" s="916" t="e">
        <f>COUNTIFS('ALL Projects'!#REF!,A35,'ALL Projects'!#REF!,"&lt;22")-C35-F35</f>
        <v>#REF!</v>
      </c>
      <c r="H35" s="916" t="e">
        <f>COUNTIFS('ALL Projects'!#REF!,A35,'ALL Projects'!#REF!,"&lt;29")-C35-F35-G35</f>
        <v>#REF!</v>
      </c>
      <c r="I35" s="916" t="e">
        <f>COUNTIFS('ALL Projects'!#REF!,A35,'ALL Projects'!#REF!,"&gt;28")</f>
        <v>#REF!</v>
      </c>
    </row>
    <row r="36" spans="1:9">
      <c r="A36" s="933" t="s">
        <v>241</v>
      </c>
      <c r="B36" s="934" t="e">
        <f>COUNTIF('ALL Projects'!#REF!,A36)</f>
        <v>#REF!</v>
      </c>
      <c r="C36" s="935" t="e">
        <f>COUNTIFS('ALL Projects'!#REF!,A36,'ALL Projects'!#REF!,"&lt;8")</f>
        <v>#REF!</v>
      </c>
      <c r="D36" s="936" t="e">
        <f t="shared" si="2"/>
        <v>#REF!</v>
      </c>
      <c r="F36" s="916" t="e">
        <f>COUNTIFS('ALL Projects'!#REF!,A36,'ALL Projects'!#REF!,"&lt;15")-C36</f>
        <v>#REF!</v>
      </c>
      <c r="G36" s="916" t="e">
        <f>COUNTIFS('ALL Projects'!#REF!,A36,'ALL Projects'!#REF!,"&lt;22")-C36-F36</f>
        <v>#REF!</v>
      </c>
      <c r="H36" s="916" t="e">
        <f>COUNTIFS('ALL Projects'!#REF!,A36,'ALL Projects'!#REF!,"&lt;29")-C36-F36-G36</f>
        <v>#REF!</v>
      </c>
      <c r="I36" s="916" t="e">
        <f>COUNTIFS('ALL Projects'!#REF!,A36,'ALL Projects'!#REF!,"&gt;28")</f>
        <v>#REF!</v>
      </c>
    </row>
    <row r="37" spans="1:9">
      <c r="A37" s="961" t="s">
        <v>253</v>
      </c>
      <c r="B37" s="962" t="e">
        <f>COUNTIF('ALL Projects'!#REF!,A37)</f>
        <v>#REF!</v>
      </c>
      <c r="C37" s="963" t="e">
        <f>COUNTIFS('ALL Projects'!#REF!,A37,'ALL Projects'!#REF!,"&lt;8")</f>
        <v>#REF!</v>
      </c>
      <c r="D37" s="964" t="e">
        <f t="shared" si="2"/>
        <v>#REF!</v>
      </c>
      <c r="F37" s="916" t="e">
        <f>COUNTIFS('ALL Projects'!#REF!,A37,'ALL Projects'!#REF!,"&lt;15")-C37</f>
        <v>#REF!</v>
      </c>
      <c r="G37" s="916" t="e">
        <f>COUNTIFS('ALL Projects'!#REF!,A37,'ALL Projects'!#REF!,"&lt;22")-C37-F37</f>
        <v>#REF!</v>
      </c>
      <c r="H37" s="916" t="e">
        <f>COUNTIFS('ALL Projects'!#REF!,A37,'ALL Projects'!#REF!,"&lt;29")-C37-F37-G37</f>
        <v>#REF!</v>
      </c>
      <c r="I37" s="916" t="e">
        <f>COUNTIFS('ALL Projects'!#REF!,A37,'ALL Projects'!#REF!,"&gt;28")</f>
        <v>#REF!</v>
      </c>
    </row>
    <row r="38" spans="1:9">
      <c r="A38" s="933" t="s">
        <v>56</v>
      </c>
      <c r="B38" s="934" t="e">
        <f>COUNTIF('ALL Projects'!#REF!,A38)</f>
        <v>#REF!</v>
      </c>
      <c r="C38" s="935" t="e">
        <f>COUNTIFS('ALL Projects'!#REF!,A38,'ALL Projects'!#REF!,"&lt;8")</f>
        <v>#REF!</v>
      </c>
      <c r="D38" s="936" t="e">
        <f t="shared" ref="D38:D39" si="3">IF(B38=0,"N/A",C38/B38)</f>
        <v>#REF!</v>
      </c>
      <c r="F38" s="916" t="e">
        <f>COUNTIFS('ALL Projects'!#REF!,A38,'ALL Projects'!#REF!,"&lt;15")-C38</f>
        <v>#REF!</v>
      </c>
      <c r="G38" s="916" t="e">
        <f>COUNTIFS('ALL Projects'!#REF!,A38,'ALL Projects'!#REF!,"&lt;22")-C38-F38</f>
        <v>#REF!</v>
      </c>
      <c r="H38" s="916" t="e">
        <f>COUNTIFS('ALL Projects'!#REF!,A38,'ALL Projects'!#REF!,"&lt;29")-C38-F38-G38</f>
        <v>#REF!</v>
      </c>
      <c r="I38" s="916" t="e">
        <f>COUNTIFS('ALL Projects'!#REF!,A38,'ALL Projects'!#REF!,"&gt;28")</f>
        <v>#REF!</v>
      </c>
    </row>
    <row r="39" spans="1:9">
      <c r="A39" s="933" t="s">
        <v>428</v>
      </c>
      <c r="B39" s="934" t="e">
        <f>COUNTIF('ALL Projects'!#REF!,A39)</f>
        <v>#REF!</v>
      </c>
      <c r="C39" s="935" t="e">
        <f>COUNTIFS('ALL Projects'!#REF!,A39,'ALL Projects'!#REF!,"&lt;8")</f>
        <v>#REF!</v>
      </c>
      <c r="D39" s="936" t="e">
        <f t="shared" si="3"/>
        <v>#REF!</v>
      </c>
      <c r="F39" s="916" t="e">
        <f>COUNTIFS('ALL Projects'!#REF!,A39,'ALL Projects'!#REF!,"&lt;15")-C39</f>
        <v>#REF!</v>
      </c>
      <c r="G39" s="916" t="e">
        <f>COUNTIFS('ALL Projects'!#REF!,A39,'ALL Projects'!#REF!,"&lt;22")-C39-F39</f>
        <v>#REF!</v>
      </c>
      <c r="H39" s="916" t="e">
        <f>COUNTIFS('ALL Projects'!#REF!,A39,'ALL Projects'!#REF!,"&lt;29")-C39-F39-G39</f>
        <v>#REF!</v>
      </c>
      <c r="I39" s="916" t="e">
        <f>COUNTIFS('ALL Projects'!#REF!,A39,'ALL Projects'!#REF!,"&gt;28")</f>
        <v>#REF!</v>
      </c>
    </row>
    <row r="41" spans="1:9">
      <c r="C41" s="619"/>
      <c r="D41" s="619"/>
      <c r="F41" s="916"/>
      <c r="G41" s="916"/>
    </row>
    <row r="42" spans="1:9" ht="15.6">
      <c r="A42" s="927" t="s">
        <v>4462</v>
      </c>
      <c r="B42" s="928"/>
      <c r="C42" s="929"/>
      <c r="D42" s="929"/>
      <c r="E42" s="928"/>
      <c r="F42" s="930"/>
      <c r="G42" s="930"/>
    </row>
    <row r="43" spans="1:9">
      <c r="A43" s="928" t="s">
        <v>1109</v>
      </c>
      <c r="B43" s="930" t="e">
        <f>COUNTIF('ALL Projects'!#REF!,A43)</f>
        <v>#REF!</v>
      </c>
      <c r="C43" s="929" t="e">
        <f>COUNTIFS('ALL Projects'!#REF!,A43,'ALL Projects'!#REF!,"&lt;8")</f>
        <v>#REF!</v>
      </c>
      <c r="D43" s="931" t="e">
        <f>IF(B43=0,"N/A",C43/B43)</f>
        <v>#REF!</v>
      </c>
      <c r="E43" s="928"/>
      <c r="F43" s="930" t="e">
        <f>COUNTIFS('ALL Projects'!#REF!,#REF!,'ALL Projects'!#REF!,"&gt;14")</f>
        <v>#REF!</v>
      </c>
      <c r="G43" s="930" t="e">
        <f>COUNTIFS('ALL Projects'!#REF!,#REF!,'ALL Projects'!#REF!,"&gt;21")</f>
        <v>#REF!</v>
      </c>
    </row>
    <row r="44" spans="1:9">
      <c r="A44" s="928" t="s">
        <v>1088</v>
      </c>
      <c r="B44" s="930" t="e">
        <f>COUNTIF('ALL Projects'!#REF!,A44)</f>
        <v>#REF!</v>
      </c>
      <c r="C44" s="929" t="e">
        <f>COUNTIFS('ALL Projects'!#REF!,A44,'ALL Projects'!#REF!,"&lt;8")</f>
        <v>#REF!</v>
      </c>
      <c r="D44" s="931" t="e">
        <f>IF(B44=0,"N/A",C44/B44)</f>
        <v>#REF!</v>
      </c>
      <c r="E44" s="928"/>
      <c r="F44" s="930" t="e">
        <f>COUNTIFS('ALL Projects'!#REF!,#REF!,'ALL Projects'!#REF!,"&gt;14")</f>
        <v>#REF!</v>
      </c>
      <c r="G44" s="930" t="e">
        <f>COUNTIFS('ALL Projects'!#REF!,#REF!,'ALL Projects'!#REF!,"&gt;21")</f>
        <v>#REF!</v>
      </c>
    </row>
    <row r="45" spans="1:9">
      <c r="A45" s="928" t="s">
        <v>1261</v>
      </c>
      <c r="B45" s="930" t="e">
        <f>COUNTIF('ALL Projects'!#REF!,A45)</f>
        <v>#REF!</v>
      </c>
      <c r="C45" s="929" t="e">
        <f>COUNTIFS('ALL Projects'!#REF!,A45,'ALL Projects'!#REF!,"&lt;8")</f>
        <v>#REF!</v>
      </c>
      <c r="D45" s="931" t="e">
        <f>IF(B45=0,"N/A",C45/B45)</f>
        <v>#REF!</v>
      </c>
      <c r="E45" s="928"/>
      <c r="F45" s="930" t="e">
        <f>COUNTIFS('ALL Projects'!#REF!,#REF!,'ALL Projects'!#REF!,"&gt;14")</f>
        <v>#REF!</v>
      </c>
      <c r="G45" s="930" t="e">
        <f>COUNTIFS('ALL Projects'!#REF!,#REF!,'ALL Projects'!#REF!,"&gt;21")</f>
        <v>#REF!</v>
      </c>
    </row>
    <row r="46" spans="1:9">
      <c r="A46" s="1319" t="s">
        <v>1346</v>
      </c>
      <c r="B46" s="930" t="e">
        <f>COUNTIF('ALL Projects'!#REF!,A46)</f>
        <v>#REF!</v>
      </c>
      <c r="C46" s="929" t="e">
        <f>COUNTIFS('ALL Projects'!#REF!,A46,'ALL Projects'!#REF!,"&lt;8")</f>
        <v>#REF!</v>
      </c>
      <c r="D46" s="931" t="e">
        <f>IF(B46=0,"N/A",C46/B46)</f>
        <v>#REF!</v>
      </c>
      <c r="E46" s="928"/>
      <c r="F46" s="930" t="e">
        <f>COUNTIFS('ALL Projects'!#REF!,#REF!,'ALL Projects'!#REF!,"&gt;14")</f>
        <v>#REF!</v>
      </c>
      <c r="G46" s="930" t="e">
        <f>COUNTIFS('ALL Projects'!#REF!,#REF!,'ALL Projects'!#REF!,"&gt;21")</f>
        <v>#REF!</v>
      </c>
    </row>
  </sheetData>
  <conditionalFormatting sqref="D5:D46">
    <cfRule type="dataBar" priority="2064">
      <dataBar>
        <cfvo type="min"/>
        <cfvo type="max"/>
        <color rgb="FF63C384"/>
      </dataBar>
      <extLst>
        <ext xmlns:x14="http://schemas.microsoft.com/office/spreadsheetml/2009/9/main" uri="{B025F937-C7B1-47D3-B67F-A62EFF666E3E}">
          <x14:id>{42DD260D-E48A-44EE-99B0-C806007214B5}</x14:id>
        </ext>
      </extLst>
    </cfRule>
  </conditionalFormatting>
  <conditionalFormatting sqref="F5:F39">
    <cfRule type="dataBar" priority="2058">
      <dataBar>
        <cfvo type="min"/>
        <cfvo type="max"/>
        <color rgb="FFFFB628"/>
      </dataBar>
      <extLst>
        <ext xmlns:x14="http://schemas.microsoft.com/office/spreadsheetml/2009/9/main" uri="{B025F937-C7B1-47D3-B67F-A62EFF666E3E}">
          <x14:id>{6008E567-8691-4C7E-9CA5-31321197A766}</x14:id>
        </ext>
      </extLst>
    </cfRule>
  </conditionalFormatting>
  <conditionalFormatting sqref="G5:G39">
    <cfRule type="dataBar" priority="2060">
      <dataBar>
        <cfvo type="min"/>
        <cfvo type="max"/>
        <color rgb="FFFF555A"/>
      </dataBar>
      <extLst>
        <ext xmlns:x14="http://schemas.microsoft.com/office/spreadsheetml/2009/9/main" uri="{B025F937-C7B1-47D3-B67F-A62EFF666E3E}">
          <x14:id>{85EA44E3-E28A-41BC-8B75-7679E4663C11}</x14:id>
        </ext>
      </extLst>
    </cfRule>
  </conditionalFormatting>
  <conditionalFormatting sqref="H5:H39">
    <cfRule type="dataBar" priority="2062">
      <dataBar>
        <cfvo type="min"/>
        <cfvo type="max"/>
        <color rgb="FFFF555A"/>
      </dataBar>
      <extLst>
        <ext xmlns:x14="http://schemas.microsoft.com/office/spreadsheetml/2009/9/main" uri="{B025F937-C7B1-47D3-B67F-A62EFF666E3E}">
          <x14:id>{7E5E454C-B1C1-4601-B952-6CCA762B1F49}</x14:id>
        </ext>
      </extLst>
    </cfRule>
  </conditionalFormatting>
  <conditionalFormatting sqref="I5:I40">
    <cfRule type="dataBar" priority="2066">
      <dataBar>
        <cfvo type="min"/>
        <cfvo type="max"/>
        <color rgb="FFFF555A"/>
      </dataBar>
      <extLst>
        <ext xmlns:x14="http://schemas.microsoft.com/office/spreadsheetml/2009/9/main" uri="{B025F937-C7B1-47D3-B67F-A62EFF666E3E}">
          <x14:id>{986902B8-BB2D-4BB6-A794-5F4EA68CA792}</x14:id>
        </ext>
      </extLst>
    </cfRule>
  </conditionalFormatting>
  <pageMargins left="0.7" right="0.7" top="0.75" bottom="0.75" header="0.3" footer="0.3"/>
  <pageSetup paperSize="9" orientation="portrait" r:id="rId1"/>
  <headerFooter>
    <oddFooter>&amp;C&amp;1#&amp;"Calibri"&amp;10&amp;KFF0000OFFICIAL - SENSITIVE</oddFooter>
  </headerFooter>
  <extLst>
    <ext xmlns:x14="http://schemas.microsoft.com/office/spreadsheetml/2009/9/main" uri="{78C0D931-6437-407d-A8EE-F0AAD7539E65}">
      <x14:conditionalFormattings>
        <x14:conditionalFormatting xmlns:xm="http://schemas.microsoft.com/office/excel/2006/main">
          <x14:cfRule type="dataBar" id="{42DD260D-E48A-44EE-99B0-C806007214B5}">
            <x14:dataBar minLength="0" maxLength="100" border="1" negativeBarBorderColorSameAsPositive="0">
              <x14:cfvo type="autoMin"/>
              <x14:cfvo type="autoMax"/>
              <x14:borderColor rgb="FF63C384"/>
              <x14:negativeFillColor rgb="FFFF0000"/>
              <x14:negativeBorderColor rgb="FFFF0000"/>
              <x14:axisColor rgb="FF000000"/>
            </x14:dataBar>
          </x14:cfRule>
          <xm:sqref>D5:D46</xm:sqref>
        </x14:conditionalFormatting>
        <x14:conditionalFormatting xmlns:xm="http://schemas.microsoft.com/office/excel/2006/main">
          <x14:cfRule type="dataBar" id="{6008E567-8691-4C7E-9CA5-31321197A766}">
            <x14:dataBar minLength="0" maxLength="100" border="1" negativeBarBorderColorSameAsPositive="0">
              <x14:cfvo type="autoMin"/>
              <x14:cfvo type="autoMax"/>
              <x14:borderColor rgb="FFFFB628"/>
              <x14:negativeFillColor rgb="FFFF0000"/>
              <x14:negativeBorderColor rgb="FFFF0000"/>
              <x14:axisColor rgb="FF000000"/>
            </x14:dataBar>
          </x14:cfRule>
          <xm:sqref>F5:F39</xm:sqref>
        </x14:conditionalFormatting>
        <x14:conditionalFormatting xmlns:xm="http://schemas.microsoft.com/office/excel/2006/main">
          <x14:cfRule type="dataBar" id="{85EA44E3-E28A-41BC-8B75-7679E4663C11}">
            <x14:dataBar minLength="0" maxLength="100" border="1" negativeBarBorderColorSameAsPositive="0">
              <x14:cfvo type="autoMin"/>
              <x14:cfvo type="autoMax"/>
              <x14:borderColor rgb="FFFF555A"/>
              <x14:negativeFillColor rgb="FFFF0000"/>
              <x14:negativeBorderColor rgb="FFFF0000"/>
              <x14:axisColor rgb="FF000000"/>
            </x14:dataBar>
          </x14:cfRule>
          <xm:sqref>G5:G39</xm:sqref>
        </x14:conditionalFormatting>
        <x14:conditionalFormatting xmlns:xm="http://schemas.microsoft.com/office/excel/2006/main">
          <x14:cfRule type="dataBar" id="{7E5E454C-B1C1-4601-B952-6CCA762B1F49}">
            <x14:dataBar minLength="0" maxLength="100" border="1" negativeBarBorderColorSameAsPositive="0">
              <x14:cfvo type="autoMin"/>
              <x14:cfvo type="autoMax"/>
              <x14:borderColor rgb="FFFF555A"/>
              <x14:negativeFillColor rgb="FFFF0000"/>
              <x14:negativeBorderColor rgb="FFFF0000"/>
              <x14:axisColor rgb="FF000000"/>
            </x14:dataBar>
          </x14:cfRule>
          <xm:sqref>H5:H39</xm:sqref>
        </x14:conditionalFormatting>
        <x14:conditionalFormatting xmlns:xm="http://schemas.microsoft.com/office/excel/2006/main">
          <x14:cfRule type="dataBar" id="{986902B8-BB2D-4BB6-A794-5F4EA68CA792}">
            <x14:dataBar minLength="0" maxLength="100" border="1" negativeBarBorderColorSameAsPositive="0">
              <x14:cfvo type="autoMin"/>
              <x14:cfvo type="autoMax"/>
              <x14:borderColor rgb="FFFF555A"/>
              <x14:negativeFillColor rgb="FFFF0000"/>
              <x14:negativeBorderColor rgb="FFFF0000"/>
              <x14:axisColor rgb="FF000000"/>
            </x14:dataBar>
          </x14:cfRule>
          <xm:sqref>I5:I40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a21b84e-126d-4e86-9964-0587ccb47bbb">
      <UserInfo>
        <DisplayName>Procurement and T&amp;C Members</DisplayName>
        <AccountId>46</AccountId>
        <AccountType/>
      </UserInfo>
      <UserInfo>
        <DisplayName>Stacey Speakman</DisplayName>
        <AccountId>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885D805BB8874B88D63E73ACE5AAA3" ma:contentTypeVersion="6" ma:contentTypeDescription="Create a new document." ma:contentTypeScope="" ma:versionID="aa20caf0af0eebd14f84017119e67ef3">
  <xsd:schema xmlns:xsd="http://www.w3.org/2001/XMLSchema" xmlns:xs="http://www.w3.org/2001/XMLSchema" xmlns:p="http://schemas.microsoft.com/office/2006/metadata/properties" xmlns:ns2="39f3f73a-8a73-4718-b880-0428add1ef2d" xmlns:ns3="ca21b84e-126d-4e86-9964-0587ccb47bbb" targetNamespace="http://schemas.microsoft.com/office/2006/metadata/properties" ma:root="true" ma:fieldsID="db120111d25f7e9f358ae529d4e1e998" ns2:_="" ns3:_="">
    <xsd:import namespace="39f3f73a-8a73-4718-b880-0428add1ef2d"/>
    <xsd:import namespace="ca21b84e-126d-4e86-9964-0587ccb47bb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f3f73a-8a73-4718-b880-0428add1ef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21b84e-126d-4e86-9964-0587ccb47bb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6227C7-CA5E-4E74-B11E-1E497D46C8F6}">
  <ds:schemaRefs>
    <ds:schemaRef ds:uri="http://schemas.microsoft.com/office/2006/metadata/properties"/>
    <ds:schemaRef ds:uri="http://schemas.microsoft.com/office/infopath/2007/PartnerControls"/>
    <ds:schemaRef ds:uri="ca21b84e-126d-4e86-9964-0587ccb47bbb"/>
  </ds:schemaRefs>
</ds:datastoreItem>
</file>

<file path=customXml/itemProps2.xml><?xml version="1.0" encoding="utf-8"?>
<ds:datastoreItem xmlns:ds="http://schemas.openxmlformats.org/officeDocument/2006/customXml" ds:itemID="{C14543F6-2447-471B-98AB-19A597A9E441}">
  <ds:schemaRefs>
    <ds:schemaRef ds:uri="http://schemas.microsoft.com/sharepoint/v3/contenttype/forms"/>
  </ds:schemaRefs>
</ds:datastoreItem>
</file>

<file path=customXml/itemProps3.xml><?xml version="1.0" encoding="utf-8"?>
<ds:datastoreItem xmlns:ds="http://schemas.openxmlformats.org/officeDocument/2006/customXml" ds:itemID="{D8232DAA-B37F-42D9-85F2-6F05100DE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f3f73a-8a73-4718-b880-0428add1ef2d"/>
    <ds:schemaRef ds:uri="ca21b84e-126d-4e86-9964-0587ccb47b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Projects</vt:lpstr>
      <vt:lpstr>Completed Archive 2017-2021</vt:lpstr>
      <vt:lpstr>Updates Summary</vt:lpstr>
    </vt:vector>
  </TitlesOfParts>
  <Manager/>
  <Company>NYCC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Stacey.Speakman@northyorks.gov.uk</dc:creator>
  <cp:keywords/>
  <dc:description/>
  <cp:lastModifiedBy>Stacey Speakman</cp:lastModifiedBy>
  <cp:revision/>
  <dcterms:created xsi:type="dcterms:W3CDTF">2016-02-11T14:47:56Z</dcterms:created>
  <dcterms:modified xsi:type="dcterms:W3CDTF">2023-07-10T12:19:09Z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0x010100F7885D805BB8874B88D63E73ACE5AAA3</vt:lpwstr>
  </property>
  <property fmtid="{D5CDD505-2E9C-101B-9397-08002B2CF9AE}" pid="3" name="_dlc_DocIdItemGuid">
    <vt:lpwstr>1ffeaa34-b0a7-4551-8136-7d9e3714ffdc</vt:lpwstr>
  </property>
  <property fmtid="{D5CDD505-2E9C-101B-9397-08002B2CF9AE}" pid="4" name="SV_QUERY_LIST_4F35BF76-6C0D-4D9B-82B2-816C12CF3733">
    <vt:lpwstr>empty_477D106A-C0D6-4607-AEBD-E2C9D60EA279</vt:lpwstr>
  </property>
  <property fmtid="{D5CDD505-2E9C-101B-9397-08002B2CF9AE}" pid="5" name="MSIP_Label_13f27b87-3675-4fb5-85ad-fce3efd3a6b0_Enabled">
    <vt:lpwstr>true</vt:lpwstr>
  </property>
  <property fmtid="{D5CDD505-2E9C-101B-9397-08002B2CF9AE}" pid="6" name="MSIP_Label_13f27b87-3675-4fb5-85ad-fce3efd3a6b0_SetDate">
    <vt:lpwstr>2023-07-07T08:34:53Z</vt:lpwstr>
  </property>
  <property fmtid="{D5CDD505-2E9C-101B-9397-08002B2CF9AE}" pid="7" name="MSIP_Label_13f27b87-3675-4fb5-85ad-fce3efd3a6b0_Method">
    <vt:lpwstr>Privileged</vt:lpwstr>
  </property>
  <property fmtid="{D5CDD505-2E9C-101B-9397-08002B2CF9AE}" pid="8" name="MSIP_Label_13f27b87-3675-4fb5-85ad-fce3efd3a6b0_Name">
    <vt:lpwstr>OFFICIAL - SENSITIVE</vt:lpwstr>
  </property>
  <property fmtid="{D5CDD505-2E9C-101B-9397-08002B2CF9AE}" pid="9" name="MSIP_Label_13f27b87-3675-4fb5-85ad-fce3efd3a6b0_SiteId">
    <vt:lpwstr>ad3d9c73-9830-44a1-b487-e1055441c70e</vt:lpwstr>
  </property>
  <property fmtid="{D5CDD505-2E9C-101B-9397-08002B2CF9AE}" pid="10" name="MSIP_Label_13f27b87-3675-4fb5-85ad-fce3efd3a6b0_ActionId">
    <vt:lpwstr>b0d69abf-71cc-44ca-bbe1-bf6e6af5c429</vt:lpwstr>
  </property>
  <property fmtid="{D5CDD505-2E9C-101B-9397-08002B2CF9AE}" pid="11" name="MSIP_Label_13f27b87-3675-4fb5-85ad-fce3efd3a6b0_ContentBits">
    <vt:lpwstr>2</vt:lpwstr>
  </property>
</Properties>
</file>